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U-0260\Downloads\"/>
    </mc:Choice>
  </mc:AlternateContent>
  <bookViews>
    <workbookView xWindow="0" yWindow="0" windowWidth="24000" windowHeight="9300"/>
  </bookViews>
  <sheets>
    <sheet name="Sheet1" sheetId="1" r:id="rId1"/>
  </sheets>
  <definedNames>
    <definedName name="_xlnm._FilterDatabase" localSheetId="0" hidden="1">Sheet1!$A$1:$F$14254</definedName>
  </definedNames>
  <calcPr calcId="162913"/>
</workbook>
</file>

<file path=xl/calcChain.xml><?xml version="1.0" encoding="utf-8"?>
<calcChain xmlns="http://schemas.openxmlformats.org/spreadsheetml/2006/main">
  <c r="C1" i="1" l="1"/>
  <c r="C2" i="1"/>
  <c r="C4" i="1"/>
  <c r="C5" i="1"/>
  <c r="C9" i="1"/>
  <c r="C13" i="1"/>
  <c r="D13" i="1" s="1"/>
  <c r="C22" i="1"/>
  <c r="C26" i="1"/>
  <c r="D26" i="1" s="1"/>
  <c r="C27" i="1"/>
  <c r="C32" i="1"/>
  <c r="D32" i="1" s="1"/>
  <c r="C44" i="1"/>
  <c r="C47" i="1"/>
  <c r="D47" i="1" s="1"/>
  <c r="C51" i="1"/>
  <c r="C52" i="1"/>
  <c r="D52" i="1" s="1"/>
  <c r="C54" i="1"/>
  <c r="C57" i="1"/>
  <c r="D57" i="1" s="1"/>
  <c r="C60" i="1"/>
  <c r="C61" i="1"/>
  <c r="D61" i="1" s="1"/>
  <c r="C63" i="1"/>
  <c r="C65" i="1"/>
  <c r="D65" i="1" s="1"/>
  <c r="C66" i="1"/>
  <c r="C83" i="1"/>
  <c r="D83" i="1" s="1"/>
  <c r="C85" i="1"/>
  <c r="C87" i="1"/>
  <c r="D87" i="1" s="1"/>
  <c r="C88" i="1"/>
  <c r="C93" i="1"/>
  <c r="D93" i="1" s="1"/>
  <c r="C94" i="1"/>
  <c r="C95" i="1"/>
  <c r="C98" i="1"/>
  <c r="C102" i="1"/>
  <c r="D102" i="1" s="1"/>
  <c r="C106" i="1"/>
  <c r="C115" i="1"/>
  <c r="D115" i="1" s="1"/>
  <c r="C116" i="1"/>
  <c r="C118" i="1"/>
  <c r="D118" i="1" s="1"/>
  <c r="C120" i="1"/>
  <c r="C121" i="1"/>
  <c r="D121" i="1" s="1"/>
  <c r="C122" i="1"/>
  <c r="C124" i="1"/>
  <c r="D124" i="1" s="1"/>
  <c r="C125" i="1"/>
  <c r="C131" i="1"/>
  <c r="D131" i="1" s="1"/>
  <c r="C132" i="1"/>
  <c r="C133" i="1"/>
  <c r="D133" i="1" s="1"/>
  <c r="C134" i="1"/>
  <c r="C137" i="1"/>
  <c r="D137" i="1" s="1"/>
  <c r="C139" i="1"/>
  <c r="C144" i="1"/>
  <c r="D144" i="1" s="1"/>
  <c r="C147" i="1"/>
  <c r="C149" i="1"/>
  <c r="D149" i="1" s="1"/>
  <c r="C150" i="1"/>
  <c r="C154" i="1"/>
  <c r="D154" i="1" s="1"/>
  <c r="C161" i="1"/>
  <c r="C168" i="1"/>
  <c r="C169" i="1"/>
  <c r="C170" i="1"/>
  <c r="C173" i="1"/>
  <c r="C174" i="1"/>
  <c r="C176" i="1"/>
  <c r="C178" i="1"/>
  <c r="C180" i="1"/>
  <c r="C181" i="1"/>
  <c r="C182" i="1"/>
  <c r="C183" i="1"/>
  <c r="C185" i="1"/>
  <c r="C190" i="1"/>
  <c r="C191" i="1"/>
  <c r="C192" i="1"/>
  <c r="C194" i="1"/>
  <c r="C195" i="1"/>
  <c r="C196" i="1"/>
  <c r="C197" i="1"/>
  <c r="C198" i="1"/>
  <c r="C199" i="1"/>
  <c r="C201" i="1"/>
  <c r="C202" i="1"/>
  <c r="C203" i="1"/>
  <c r="C206" i="1"/>
  <c r="C207" i="1"/>
  <c r="C208" i="1"/>
  <c r="C210" i="1"/>
  <c r="C214" i="1"/>
  <c r="C216" i="1"/>
  <c r="C218" i="1"/>
  <c r="C222" i="1"/>
  <c r="C223" i="1"/>
  <c r="C224" i="1"/>
  <c r="C225" i="1"/>
  <c r="C226" i="1"/>
  <c r="C227" i="1"/>
  <c r="C228" i="1"/>
  <c r="C230" i="1"/>
  <c r="C232" i="1"/>
  <c r="C233" i="1"/>
  <c r="C236" i="1"/>
  <c r="C238" i="1"/>
  <c r="C241" i="1"/>
  <c r="C254" i="1"/>
  <c r="C259" i="1"/>
  <c r="C264" i="1"/>
  <c r="C267" i="1"/>
  <c r="C272" i="1"/>
  <c r="C275" i="1"/>
  <c r="C287" i="1"/>
  <c r="C288" i="1"/>
  <c r="C289" i="1"/>
  <c r="C295" i="1"/>
  <c r="C297" i="1"/>
  <c r="C301" i="1"/>
  <c r="C303" i="1"/>
  <c r="C304" i="1"/>
  <c r="C307" i="1"/>
  <c r="C308" i="1"/>
  <c r="C314" i="1"/>
  <c r="C315" i="1"/>
  <c r="C317" i="1"/>
  <c r="C320" i="1"/>
  <c r="C324" i="1"/>
  <c r="C341" i="1"/>
  <c r="C347" i="1"/>
  <c r="C355" i="1"/>
  <c r="C362" i="1"/>
  <c r="C365" i="1"/>
  <c r="C367" i="1"/>
  <c r="C381" i="1"/>
  <c r="C387" i="1"/>
  <c r="C389" i="1"/>
  <c r="C394" i="1"/>
  <c r="C414" i="1"/>
  <c r="C426" i="1"/>
  <c r="C429" i="1"/>
  <c r="C440" i="1"/>
  <c r="C495" i="1"/>
  <c r="C515" i="1"/>
  <c r="C547" i="1"/>
  <c r="C549" i="1"/>
  <c r="C565" i="1"/>
  <c r="C600" i="1"/>
  <c r="C618" i="1"/>
  <c r="C630" i="1"/>
  <c r="C656" i="1"/>
  <c r="C659" i="1"/>
  <c r="C668" i="1"/>
  <c r="C671" i="1"/>
  <c r="C680" i="1"/>
  <c r="C690" i="1"/>
  <c r="C697" i="1"/>
  <c r="C719" i="1"/>
  <c r="C735" i="1"/>
  <c r="C747" i="1"/>
  <c r="C756" i="1"/>
  <c r="C762" i="1"/>
  <c r="C763" i="1"/>
  <c r="C766" i="1"/>
  <c r="C769" i="1"/>
  <c r="C773" i="1"/>
  <c r="C781" i="1"/>
  <c r="C789" i="1"/>
  <c r="C792" i="1"/>
  <c r="C802" i="1"/>
  <c r="C806" i="1"/>
  <c r="C807" i="1"/>
  <c r="C808" i="1"/>
  <c r="C810" i="1"/>
  <c r="C811" i="1"/>
  <c r="C817" i="1"/>
  <c r="C822" i="1"/>
  <c r="C824" i="1"/>
  <c r="C827" i="1"/>
  <c r="C828" i="1"/>
  <c r="C832" i="1"/>
  <c r="C839" i="1"/>
  <c r="C844" i="1"/>
  <c r="C847" i="1"/>
  <c r="C850" i="1"/>
  <c r="C854" i="1"/>
  <c r="C856" i="1"/>
  <c r="C857" i="1"/>
  <c r="C858" i="1"/>
  <c r="C865" i="1"/>
  <c r="C871" i="1"/>
  <c r="C872" i="1"/>
  <c r="C873" i="1"/>
  <c r="C879" i="1"/>
  <c r="C882" i="1"/>
  <c r="C895" i="1"/>
  <c r="C896" i="1"/>
  <c r="C900" i="1"/>
  <c r="C901" i="1"/>
  <c r="C925" i="1"/>
  <c r="C927" i="1"/>
  <c r="C937" i="1"/>
  <c r="C948" i="1"/>
  <c r="C956" i="1"/>
  <c r="C961" i="1"/>
  <c r="C962" i="1"/>
  <c r="C963" i="1"/>
  <c r="C969" i="1"/>
  <c r="C973" i="1"/>
  <c r="C984" i="1"/>
  <c r="C993" i="1"/>
  <c r="C1001" i="1"/>
  <c r="C1013" i="1"/>
  <c r="C1017" i="1"/>
  <c r="C1019" i="1"/>
  <c r="C1021" i="1"/>
  <c r="C1028" i="1"/>
  <c r="C1030" i="1"/>
  <c r="C1036" i="1"/>
  <c r="C1042" i="1"/>
  <c r="C1043" i="1"/>
  <c r="C1047" i="1"/>
  <c r="C1051" i="1"/>
  <c r="C1055" i="1"/>
  <c r="C1056" i="1"/>
  <c r="C1060" i="1"/>
  <c r="C1061" i="1"/>
  <c r="C1062" i="1"/>
  <c r="C1073" i="1"/>
  <c r="C1075" i="1"/>
  <c r="C1077" i="1"/>
  <c r="C1078" i="1"/>
  <c r="C1079" i="1"/>
  <c r="C1081" i="1"/>
  <c r="C1082" i="1"/>
  <c r="C1085" i="1"/>
  <c r="C1090" i="1"/>
  <c r="C1096" i="1"/>
  <c r="C1097" i="1"/>
  <c r="C1098" i="1"/>
  <c r="C1110" i="1"/>
  <c r="C1111" i="1"/>
  <c r="C1112" i="1"/>
  <c r="C1120" i="1"/>
  <c r="C1121" i="1"/>
  <c r="C1134" i="1"/>
  <c r="C1135" i="1"/>
  <c r="C1141" i="1"/>
  <c r="C1145" i="1"/>
  <c r="C1146" i="1"/>
  <c r="C1150" i="1"/>
  <c r="C1154" i="1"/>
  <c r="C1162" i="1"/>
  <c r="C1163" i="1"/>
  <c r="C1165" i="1"/>
  <c r="C1167" i="1"/>
  <c r="C1169" i="1"/>
  <c r="C1173" i="1"/>
  <c r="C1176" i="1"/>
  <c r="C1180" i="1"/>
  <c r="C1183" i="1"/>
  <c r="C1184" i="1"/>
  <c r="C1185" i="1"/>
  <c r="C1187" i="1"/>
  <c r="C1188" i="1"/>
  <c r="C1190" i="1"/>
  <c r="C1191" i="1"/>
  <c r="C1193" i="1"/>
  <c r="C1197" i="1"/>
  <c r="C1198" i="1"/>
  <c r="C1200" i="1"/>
  <c r="C1202" i="1"/>
  <c r="C1203" i="1"/>
  <c r="C1208" i="1"/>
  <c r="C1212" i="1"/>
  <c r="C1217" i="1"/>
  <c r="C1218" i="1"/>
  <c r="C1225" i="1"/>
  <c r="C1226" i="1"/>
  <c r="C1227" i="1"/>
  <c r="C1252" i="1"/>
  <c r="C1256" i="1"/>
  <c r="C1258" i="1"/>
  <c r="C1263" i="1"/>
  <c r="C1270" i="1"/>
  <c r="C1275" i="1"/>
  <c r="C1277" i="1"/>
  <c r="C1285" i="1"/>
  <c r="C1286" i="1"/>
  <c r="C1297" i="1"/>
  <c r="C1301" i="1"/>
  <c r="C1302" i="1"/>
  <c r="C1303" i="1"/>
  <c r="C1308" i="1"/>
  <c r="C1311" i="1"/>
  <c r="C1312" i="1"/>
  <c r="C1316" i="1"/>
  <c r="C1318" i="1"/>
  <c r="C1322" i="1"/>
  <c r="C1324" i="1"/>
  <c r="C1325" i="1"/>
  <c r="C1326" i="1"/>
  <c r="C1332" i="1"/>
  <c r="C1335" i="1"/>
  <c r="C1338" i="1"/>
  <c r="C1340" i="1"/>
  <c r="C1341" i="1"/>
  <c r="C1345" i="1"/>
  <c r="C1346" i="1"/>
  <c r="C1348" i="1"/>
  <c r="C1356" i="1"/>
  <c r="C1357" i="1"/>
  <c r="C1359" i="1"/>
  <c r="C1361" i="1"/>
  <c r="C1362" i="1"/>
  <c r="C1369" i="1"/>
  <c r="C1374" i="1"/>
  <c r="C1377" i="1"/>
  <c r="C1378" i="1"/>
  <c r="C1384" i="1"/>
  <c r="C1386" i="1"/>
  <c r="C1389" i="1"/>
  <c r="C1391" i="1"/>
  <c r="C1392" i="1"/>
  <c r="C1393" i="1"/>
  <c r="C1396" i="1"/>
  <c r="C1397" i="1"/>
  <c r="C1400" i="1"/>
  <c r="C1406" i="1"/>
  <c r="C1408" i="1"/>
  <c r="C1413" i="1"/>
  <c r="C1415" i="1"/>
  <c r="C1416" i="1"/>
  <c r="C1418" i="1"/>
  <c r="C1420" i="1"/>
  <c r="C1421" i="1"/>
  <c r="C1427" i="1"/>
  <c r="C1429" i="1"/>
  <c r="C1440" i="1"/>
  <c r="C1456" i="1"/>
  <c r="C1458" i="1"/>
  <c r="C1459" i="1"/>
  <c r="C1461" i="1"/>
  <c r="C1466" i="1"/>
  <c r="C1469" i="1"/>
  <c r="C1485" i="1"/>
  <c r="C1488" i="1"/>
  <c r="C1492" i="1"/>
  <c r="C1493" i="1"/>
  <c r="C1498" i="1"/>
  <c r="C1499" i="1"/>
  <c r="C1502" i="1"/>
  <c r="C1507" i="1"/>
  <c r="C1510" i="1"/>
  <c r="C1512" i="1"/>
  <c r="C1517" i="1"/>
  <c r="C1520" i="1"/>
  <c r="C1521" i="1"/>
  <c r="C1526" i="1"/>
  <c r="C1532" i="1"/>
  <c r="C1533" i="1"/>
  <c r="C1534" i="1"/>
  <c r="C1542" i="1"/>
  <c r="C1543" i="1"/>
  <c r="C1546" i="1"/>
  <c r="C1555" i="1"/>
  <c r="C1559" i="1"/>
  <c r="C1567" i="1"/>
  <c r="C1575" i="1"/>
  <c r="C1577" i="1"/>
  <c r="C1578" i="1"/>
  <c r="C1579" i="1"/>
  <c r="C1583" i="1"/>
  <c r="C1589" i="1"/>
  <c r="C1594" i="1"/>
  <c r="C1600" i="1"/>
  <c r="C1602" i="1"/>
  <c r="C1605" i="1"/>
  <c r="C1609" i="1"/>
  <c r="C1623" i="1"/>
  <c r="C1629" i="1"/>
  <c r="C1635" i="1"/>
  <c r="C1636" i="1"/>
  <c r="C1639" i="1"/>
  <c r="C1643" i="1"/>
  <c r="C1652" i="1"/>
  <c r="C1657" i="1"/>
  <c r="C1658" i="1"/>
  <c r="C1668" i="1"/>
  <c r="C1669" i="1"/>
  <c r="C1673" i="1"/>
  <c r="C1676" i="1"/>
  <c r="C1696" i="1"/>
  <c r="C1702" i="1"/>
  <c r="C1705" i="1"/>
  <c r="C1713" i="1"/>
  <c r="C1720" i="1"/>
  <c r="C1722" i="1"/>
  <c r="C1728" i="1"/>
  <c r="C1733" i="1"/>
  <c r="C1734" i="1"/>
  <c r="C1735" i="1"/>
  <c r="C1741" i="1"/>
  <c r="C1761" i="1"/>
  <c r="C1767" i="1"/>
  <c r="C1772" i="1"/>
  <c r="C1774" i="1"/>
  <c r="C1781" i="1"/>
  <c r="C1783" i="1"/>
  <c r="C1791" i="1"/>
  <c r="C1800" i="1"/>
  <c r="C1803" i="1"/>
  <c r="C1812" i="1"/>
  <c r="C1829" i="1"/>
  <c r="C1831" i="1"/>
  <c r="C1838" i="1"/>
  <c r="C1841" i="1"/>
  <c r="C1860" i="1"/>
  <c r="C1862" i="1"/>
  <c r="C1863" i="1"/>
  <c r="C1870" i="1"/>
  <c r="C1875" i="1"/>
  <c r="C1880" i="1"/>
  <c r="C1884" i="1"/>
  <c r="C1888" i="1"/>
  <c r="C1889" i="1"/>
  <c r="C1890" i="1"/>
  <c r="C1893" i="1"/>
  <c r="C1894" i="1"/>
  <c r="C1909" i="1"/>
  <c r="C1912" i="1"/>
  <c r="C1913" i="1"/>
  <c r="C1914" i="1"/>
  <c r="C1915" i="1"/>
  <c r="C1921" i="1"/>
  <c r="C1928" i="1"/>
  <c r="C1933" i="1"/>
  <c r="C1935" i="1"/>
  <c r="C1950" i="1"/>
  <c r="C1956" i="1"/>
  <c r="C1958" i="1"/>
  <c r="C1961" i="1"/>
  <c r="C1963" i="1"/>
  <c r="C1968" i="1"/>
  <c r="C1971" i="1"/>
  <c r="C1974" i="1"/>
  <c r="C1978" i="1"/>
  <c r="C1979" i="1"/>
  <c r="C1983" i="1"/>
  <c r="C1991" i="1"/>
  <c r="C1997" i="1"/>
  <c r="C2001" i="1"/>
  <c r="C2004" i="1"/>
  <c r="C2005" i="1"/>
  <c r="C2006" i="1"/>
  <c r="C2007" i="1"/>
  <c r="C2019" i="1"/>
  <c r="C2020" i="1"/>
  <c r="C2021" i="1"/>
  <c r="C2024" i="1"/>
  <c r="C2025" i="1"/>
  <c r="C2032" i="1"/>
  <c r="C2049" i="1"/>
  <c r="C2050" i="1"/>
  <c r="C2051" i="1"/>
  <c r="C2061" i="1"/>
  <c r="C2066" i="1"/>
  <c r="C2068" i="1"/>
  <c r="C2071" i="1"/>
  <c r="C2073" i="1"/>
  <c r="C2081" i="1"/>
  <c r="C2083" i="1"/>
  <c r="C2085" i="1"/>
  <c r="C2101" i="1"/>
  <c r="C2102" i="1"/>
  <c r="C2114" i="1"/>
  <c r="C2117" i="1"/>
  <c r="C2119" i="1"/>
  <c r="C2123" i="1"/>
  <c r="C2125" i="1"/>
  <c r="C2126" i="1"/>
  <c r="C2134" i="1"/>
  <c r="C2138" i="1"/>
  <c r="C2142" i="1"/>
  <c r="C2147" i="1"/>
  <c r="C2158" i="1"/>
  <c r="C2159" i="1"/>
  <c r="C2160" i="1"/>
  <c r="C2168" i="1"/>
  <c r="C2181" i="1"/>
  <c r="C2201" i="1"/>
  <c r="C2205" i="1"/>
  <c r="C2208" i="1"/>
  <c r="C2214" i="1"/>
  <c r="C2215" i="1"/>
  <c r="C2220" i="1"/>
  <c r="C2221" i="1"/>
  <c r="C2222" i="1"/>
  <c r="C2224" i="1"/>
  <c r="C2225" i="1"/>
  <c r="C2227" i="1"/>
  <c r="C2228" i="1"/>
  <c r="C2231" i="1"/>
  <c r="C2233" i="1"/>
  <c r="C2240" i="1"/>
  <c r="C2245" i="1"/>
  <c r="C2246" i="1"/>
  <c r="C2249" i="1"/>
  <c r="C2253" i="1"/>
  <c r="C2255" i="1"/>
  <c r="C2256" i="1"/>
  <c r="C2263" i="1"/>
  <c r="C2268" i="1"/>
  <c r="C2280" i="1"/>
  <c r="C2281" i="1"/>
  <c r="C2282" i="1"/>
  <c r="C2284" i="1"/>
  <c r="C2291" i="1"/>
  <c r="C2292" i="1"/>
  <c r="C2294" i="1"/>
  <c r="C2296" i="1"/>
  <c r="C2297" i="1"/>
  <c r="C2301" i="1"/>
  <c r="C2304" i="1"/>
  <c r="C2311" i="1"/>
  <c r="C2312" i="1"/>
  <c r="C2321" i="1"/>
  <c r="C2322" i="1"/>
  <c r="C2323" i="1"/>
  <c r="C2324" i="1"/>
  <c r="C2325" i="1"/>
  <c r="C2327" i="1"/>
  <c r="C2328" i="1"/>
  <c r="C2355" i="1"/>
  <c r="C2361" i="1"/>
  <c r="C2363" i="1"/>
  <c r="C2364" i="1"/>
  <c r="C2365" i="1"/>
  <c r="C2366" i="1"/>
  <c r="C2368" i="1"/>
  <c r="C2369" i="1"/>
  <c r="C2371" i="1"/>
  <c r="C2372" i="1"/>
  <c r="C2373" i="1"/>
  <c r="C2374" i="1"/>
  <c r="C2375" i="1"/>
  <c r="C2376" i="1"/>
  <c r="C2377" i="1"/>
  <c r="C2378" i="1"/>
  <c r="C2380" i="1"/>
  <c r="C2385" i="1"/>
  <c r="C2412" i="1"/>
  <c r="C2424" i="1"/>
  <c r="C2426" i="1"/>
  <c r="C2427" i="1"/>
  <c r="C2431" i="1"/>
  <c r="C2433" i="1"/>
  <c r="C2446" i="1"/>
  <c r="C2460" i="1"/>
  <c r="C2476" i="1"/>
  <c r="C2480" i="1"/>
  <c r="C2481" i="1"/>
  <c r="C2484" i="1"/>
  <c r="C2486" i="1"/>
  <c r="C2488" i="1"/>
  <c r="C2492" i="1"/>
  <c r="C2496" i="1"/>
  <c r="C2507" i="1"/>
  <c r="C2508" i="1"/>
  <c r="C2513" i="1"/>
  <c r="C2514" i="1"/>
  <c r="C2516" i="1"/>
  <c r="C2524" i="1"/>
  <c r="C2529" i="1"/>
  <c r="C2535" i="1"/>
  <c r="C2536" i="1"/>
  <c r="C2537" i="1"/>
  <c r="C2538" i="1"/>
  <c r="C2540" i="1"/>
  <c r="C2543" i="1"/>
  <c r="C2544" i="1"/>
  <c r="C2546" i="1"/>
  <c r="C2547" i="1"/>
  <c r="C2549" i="1"/>
  <c r="C2550" i="1"/>
  <c r="C2553" i="1"/>
  <c r="C2556" i="1"/>
  <c r="C2558" i="1"/>
  <c r="C2559" i="1"/>
  <c r="C2560" i="1"/>
  <c r="C2569" i="1"/>
  <c r="C2571" i="1"/>
  <c r="C2581" i="1"/>
  <c r="C2586" i="1"/>
  <c r="C2588" i="1"/>
  <c r="C2589" i="1"/>
  <c r="C2590" i="1"/>
  <c r="C2592" i="1"/>
  <c r="C2597" i="1"/>
  <c r="C2599" i="1"/>
  <c r="C2600" i="1"/>
  <c r="C2602" i="1"/>
  <c r="C2603" i="1"/>
  <c r="C2605" i="1"/>
  <c r="C2606" i="1"/>
  <c r="C2607" i="1"/>
  <c r="C2610" i="1"/>
  <c r="C2616" i="1"/>
  <c r="C2618" i="1"/>
  <c r="C2623" i="1"/>
  <c r="C2624" i="1"/>
  <c r="C2625" i="1"/>
  <c r="C2627" i="1"/>
  <c r="C2647" i="1"/>
  <c r="C2672" i="1"/>
  <c r="C2684" i="1"/>
  <c r="C2690" i="1"/>
  <c r="C2702" i="1"/>
  <c r="C2704" i="1"/>
  <c r="C2706" i="1"/>
  <c r="C2707" i="1"/>
  <c r="C2710" i="1"/>
  <c r="C2724" i="1"/>
  <c r="C2727" i="1"/>
  <c r="C2738" i="1"/>
  <c r="C2740" i="1"/>
  <c r="C2752" i="1"/>
  <c r="C2759" i="1"/>
  <c r="C2768" i="1"/>
  <c r="C2770" i="1"/>
  <c r="C2771" i="1"/>
  <c r="C2772" i="1"/>
  <c r="C2776" i="1"/>
  <c r="C2783" i="1"/>
  <c r="C2785" i="1"/>
  <c r="C2790" i="1"/>
  <c r="C2792" i="1"/>
  <c r="C2795" i="1"/>
  <c r="C2796" i="1"/>
  <c r="C2800" i="1"/>
  <c r="C2801" i="1"/>
  <c r="C2802" i="1"/>
  <c r="C2803" i="1"/>
  <c r="C2807" i="1"/>
  <c r="C2809" i="1"/>
  <c r="C2816" i="1"/>
  <c r="C2820" i="1"/>
  <c r="C2826" i="1"/>
  <c r="C2828" i="1"/>
  <c r="C2836" i="1"/>
  <c r="C2837" i="1"/>
  <c r="C2838" i="1"/>
  <c r="C2843" i="1"/>
  <c r="C2861" i="1"/>
  <c r="C2869" i="1"/>
  <c r="C2870" i="1"/>
  <c r="C2871" i="1"/>
  <c r="C2881" i="1"/>
  <c r="C2889" i="1"/>
  <c r="C2891" i="1"/>
  <c r="C2892" i="1"/>
  <c r="C2894" i="1"/>
  <c r="C2897" i="1"/>
  <c r="C2898" i="1"/>
  <c r="C2899" i="1"/>
  <c r="C2901" i="1"/>
  <c r="C2918" i="1"/>
  <c r="C2920" i="1"/>
  <c r="C2922" i="1"/>
  <c r="C2924" i="1"/>
  <c r="C2929" i="1"/>
  <c r="C2930" i="1"/>
  <c r="C2931" i="1"/>
  <c r="C2935" i="1"/>
  <c r="C2938" i="1"/>
  <c r="C2942" i="1"/>
  <c r="C2949" i="1"/>
  <c r="C2950" i="1"/>
  <c r="C2961" i="1"/>
  <c r="C2963" i="1"/>
  <c r="C2965" i="1"/>
  <c r="C2968" i="1"/>
  <c r="C2974" i="1"/>
  <c r="C2977" i="1"/>
  <c r="C2979" i="1"/>
  <c r="C2985" i="1"/>
  <c r="C2986" i="1"/>
  <c r="C2987" i="1"/>
  <c r="C2988" i="1"/>
  <c r="C2993" i="1"/>
  <c r="C2997" i="1"/>
  <c r="C2998" i="1"/>
  <c r="C3003" i="1"/>
  <c r="C3006" i="1"/>
  <c r="C3009" i="1"/>
  <c r="C3012" i="1"/>
  <c r="C3014" i="1"/>
  <c r="C3018" i="1"/>
  <c r="C3021" i="1"/>
  <c r="C3025" i="1"/>
  <c r="C3034" i="1"/>
  <c r="C3041" i="1"/>
  <c r="C3042" i="1"/>
  <c r="C3047" i="1"/>
  <c r="C3053" i="1"/>
  <c r="C3054" i="1"/>
  <c r="C3055" i="1"/>
  <c r="C3059" i="1"/>
  <c r="C3060" i="1"/>
  <c r="C3063" i="1"/>
  <c r="C3064" i="1"/>
  <c r="C3074" i="1"/>
  <c r="C3079" i="1"/>
  <c r="C3083" i="1"/>
  <c r="C3094" i="1"/>
  <c r="C3096" i="1"/>
  <c r="C3098" i="1"/>
  <c r="C3100" i="1"/>
  <c r="C3101" i="1"/>
  <c r="C3107" i="1"/>
  <c r="C3109" i="1"/>
  <c r="C3111" i="1"/>
  <c r="C3112" i="1"/>
  <c r="C3115" i="1"/>
  <c r="C3116" i="1"/>
  <c r="C3118" i="1"/>
  <c r="C3124" i="1"/>
  <c r="C3125" i="1"/>
  <c r="C3126" i="1"/>
  <c r="C3129" i="1"/>
  <c r="C3136" i="1"/>
  <c r="C3137" i="1"/>
  <c r="C3141" i="1"/>
  <c r="C3144" i="1"/>
  <c r="C3145" i="1"/>
  <c r="C3146" i="1"/>
  <c r="C3148" i="1"/>
  <c r="C3150" i="1"/>
  <c r="C3151" i="1"/>
  <c r="C3168" i="1"/>
  <c r="C3171" i="1"/>
  <c r="C3173" i="1"/>
  <c r="C3175" i="1"/>
  <c r="C3176" i="1"/>
  <c r="C3177" i="1"/>
  <c r="C3179" i="1"/>
  <c r="C3187" i="1"/>
  <c r="C3189" i="1"/>
  <c r="C3191" i="1"/>
  <c r="C3192" i="1"/>
  <c r="C3197" i="1"/>
  <c r="C3202" i="1"/>
  <c r="C3213" i="1"/>
  <c r="C3217" i="1"/>
  <c r="C3219" i="1"/>
  <c r="C3222" i="1"/>
  <c r="C3223" i="1"/>
  <c r="C3227" i="1"/>
  <c r="C3228" i="1"/>
  <c r="C3230" i="1"/>
  <c r="C3232" i="1"/>
  <c r="C3234" i="1"/>
  <c r="C3241" i="1"/>
  <c r="C3250" i="1"/>
  <c r="C3251" i="1"/>
  <c r="C3254" i="1"/>
  <c r="C3268" i="1"/>
  <c r="C3272" i="1"/>
  <c r="C3273" i="1"/>
  <c r="C3274" i="1"/>
  <c r="C3276" i="1"/>
  <c r="C3286" i="1"/>
  <c r="C3288" i="1"/>
  <c r="C3291" i="1"/>
  <c r="C3292" i="1"/>
  <c r="C3294" i="1"/>
  <c r="C3295" i="1"/>
  <c r="C3302" i="1"/>
  <c r="C3304" i="1"/>
  <c r="C3314" i="1"/>
  <c r="C3318" i="1"/>
  <c r="C3319" i="1"/>
  <c r="C3320" i="1"/>
  <c r="C3324" i="1"/>
  <c r="C3325" i="1"/>
  <c r="C3327" i="1"/>
  <c r="C3329" i="1"/>
  <c r="C3338" i="1"/>
  <c r="C3341" i="1"/>
  <c r="C3364" i="1"/>
  <c r="C3365" i="1"/>
  <c r="C3373" i="1"/>
  <c r="C3374" i="1"/>
  <c r="C3375" i="1"/>
  <c r="C3377" i="1"/>
  <c r="C3378" i="1"/>
  <c r="C3381" i="1"/>
  <c r="C3385" i="1"/>
  <c r="C3386" i="1"/>
  <c r="C3388" i="1"/>
  <c r="C3392" i="1"/>
  <c r="C3402" i="1"/>
  <c r="C3404" i="1"/>
  <c r="C3405" i="1"/>
  <c r="C3409" i="1"/>
  <c r="C3412" i="1"/>
  <c r="C3413" i="1"/>
  <c r="C3414" i="1"/>
  <c r="C3417" i="1"/>
  <c r="C3425" i="1"/>
  <c r="C3429" i="1"/>
  <c r="C3431" i="1"/>
  <c r="C3432" i="1"/>
  <c r="C3441" i="1"/>
  <c r="C3448" i="1"/>
  <c r="C3453" i="1"/>
  <c r="C3455" i="1"/>
  <c r="C3460" i="1"/>
  <c r="C3472" i="1"/>
  <c r="C3475" i="1"/>
  <c r="C3480" i="1"/>
  <c r="C3484" i="1"/>
  <c r="C3489" i="1"/>
  <c r="C3492" i="1"/>
  <c r="C3493" i="1"/>
  <c r="C3494" i="1"/>
  <c r="C3497" i="1"/>
  <c r="C3500" i="1"/>
  <c r="C3502" i="1"/>
  <c r="C3503" i="1"/>
  <c r="C3504" i="1"/>
  <c r="C3507" i="1"/>
  <c r="C3510" i="1"/>
  <c r="C3512" i="1"/>
  <c r="C3515" i="1"/>
  <c r="C3520" i="1"/>
  <c r="C3524" i="1"/>
  <c r="C3530" i="1"/>
  <c r="C3532" i="1"/>
  <c r="C3535" i="1"/>
  <c r="C3539" i="1"/>
  <c r="C3540" i="1"/>
  <c r="C3545" i="1"/>
  <c r="C3552" i="1"/>
  <c r="C3558" i="1"/>
  <c r="C3559" i="1"/>
  <c r="C3560" i="1"/>
  <c r="C3562" i="1"/>
  <c r="C3564" i="1"/>
  <c r="C3568" i="1"/>
  <c r="C3572" i="1"/>
  <c r="C3583" i="1"/>
  <c r="C3586" i="1"/>
  <c r="C3587" i="1"/>
  <c r="C3588" i="1"/>
  <c r="C3597" i="1"/>
  <c r="C3606" i="1"/>
  <c r="C3609" i="1"/>
  <c r="C3618" i="1"/>
  <c r="C3619" i="1"/>
  <c r="C3620" i="1"/>
  <c r="C3645" i="1"/>
  <c r="C3646" i="1"/>
  <c r="C3656" i="1"/>
  <c r="C3662" i="1"/>
  <c r="C3664" i="1"/>
  <c r="C3665" i="1"/>
  <c r="C3667" i="1"/>
  <c r="C3668" i="1"/>
  <c r="C3669" i="1"/>
  <c r="C3671" i="1"/>
  <c r="C3693" i="1"/>
  <c r="C3695" i="1"/>
  <c r="C3707" i="1"/>
  <c r="C3709" i="1"/>
  <c r="C3716" i="1"/>
  <c r="C3717" i="1"/>
  <c r="C3720" i="1"/>
  <c r="C3723" i="1"/>
  <c r="C3724" i="1"/>
  <c r="C3731" i="1"/>
  <c r="C3732" i="1"/>
  <c r="C3734" i="1"/>
  <c r="C3735" i="1"/>
  <c r="C3740" i="1"/>
  <c r="C3741" i="1"/>
  <c r="C3745" i="1"/>
  <c r="C3746" i="1"/>
  <c r="C3748" i="1"/>
  <c r="C3749" i="1"/>
  <c r="C3754" i="1"/>
  <c r="C3755" i="1"/>
  <c r="C3757" i="1"/>
  <c r="C3758" i="1"/>
  <c r="C3761" i="1"/>
  <c r="C3762" i="1"/>
  <c r="C3763" i="1"/>
  <c r="C3764" i="1"/>
  <c r="C3769" i="1"/>
  <c r="C3773" i="1"/>
  <c r="C3775" i="1"/>
  <c r="C3776" i="1"/>
  <c r="C3783" i="1"/>
  <c r="C3784" i="1"/>
  <c r="C3786" i="1"/>
  <c r="C3791" i="1"/>
  <c r="C3792" i="1"/>
  <c r="C3794" i="1"/>
  <c r="C3796" i="1"/>
  <c r="C3801" i="1"/>
  <c r="C3807" i="1"/>
  <c r="C3821" i="1"/>
  <c r="C3822" i="1"/>
  <c r="C3837" i="1"/>
  <c r="C3838" i="1"/>
  <c r="C3842" i="1"/>
  <c r="C3845" i="1"/>
  <c r="C3871" i="1"/>
  <c r="C3894" i="1"/>
  <c r="C3895" i="1"/>
  <c r="C3926" i="1"/>
  <c r="C3933" i="1"/>
  <c r="C3936" i="1"/>
  <c r="C3947" i="1"/>
  <c r="C3954" i="1"/>
  <c r="C3955" i="1"/>
  <c r="C3974" i="1"/>
  <c r="C3976" i="1"/>
  <c r="C3979" i="1"/>
  <c r="C3980" i="1"/>
  <c r="C3983" i="1"/>
  <c r="C3985" i="1"/>
  <c r="C3986" i="1"/>
  <c r="C3992" i="1"/>
  <c r="C3999" i="1"/>
  <c r="C4001" i="1"/>
  <c r="C4005" i="1"/>
  <c r="C4009" i="1"/>
  <c r="C4012" i="1"/>
  <c r="C4018" i="1"/>
  <c r="C4023" i="1"/>
  <c r="C4027" i="1"/>
  <c r="C4038" i="1"/>
  <c r="C4044" i="1"/>
  <c r="C4049" i="1"/>
  <c r="C4055" i="1"/>
  <c r="C4059" i="1"/>
  <c r="C4063" i="1"/>
  <c r="C4065" i="1"/>
  <c r="C4069" i="1"/>
  <c r="C4070" i="1"/>
  <c r="C4071" i="1"/>
  <c r="C4073" i="1"/>
  <c r="C4074" i="1"/>
  <c r="C4078" i="1"/>
  <c r="C4081" i="1"/>
  <c r="C4084" i="1"/>
  <c r="C4090" i="1"/>
  <c r="C4091" i="1"/>
  <c r="C4092" i="1"/>
  <c r="C4100" i="1"/>
  <c r="C4102" i="1"/>
  <c r="C4104" i="1"/>
  <c r="C4105" i="1"/>
  <c r="C4106" i="1"/>
  <c r="C4112" i="1"/>
  <c r="C4116" i="1"/>
  <c r="C4118" i="1"/>
  <c r="C4122" i="1"/>
  <c r="C4124" i="1"/>
  <c r="C4133" i="1"/>
  <c r="C4138" i="1"/>
  <c r="C4140" i="1"/>
  <c r="C4141" i="1"/>
  <c r="C4146" i="1"/>
  <c r="C4147" i="1"/>
  <c r="C4152" i="1"/>
  <c r="C4153" i="1"/>
  <c r="C4154" i="1"/>
  <c r="C4157" i="1"/>
  <c r="C4158" i="1"/>
  <c r="C4160" i="1"/>
  <c r="C4167" i="1"/>
  <c r="C4168" i="1"/>
  <c r="C4173" i="1"/>
  <c r="C4176" i="1"/>
  <c r="C4178" i="1"/>
  <c r="C4182" i="1"/>
  <c r="C4189" i="1"/>
  <c r="C4194" i="1"/>
  <c r="C4202" i="1"/>
  <c r="C4203" i="1"/>
  <c r="C4205" i="1"/>
  <c r="C4208" i="1"/>
  <c r="C4216" i="1"/>
  <c r="C4217" i="1"/>
  <c r="C4218" i="1"/>
  <c r="C4232" i="1"/>
  <c r="C4233" i="1"/>
  <c r="C4234" i="1"/>
  <c r="C4235" i="1"/>
  <c r="C4240" i="1"/>
  <c r="C4242" i="1"/>
  <c r="C4251" i="1"/>
  <c r="C4256" i="1"/>
  <c r="C4258" i="1"/>
  <c r="C4261" i="1"/>
  <c r="C4262" i="1"/>
  <c r="C4264" i="1"/>
  <c r="C4266" i="1"/>
  <c r="C4268" i="1"/>
  <c r="C4270" i="1"/>
  <c r="C4271" i="1"/>
  <c r="C4272" i="1"/>
  <c r="C4283" i="1"/>
  <c r="C4284" i="1"/>
  <c r="C4287" i="1"/>
  <c r="C4291" i="1"/>
  <c r="C4294" i="1"/>
  <c r="C4295" i="1"/>
  <c r="C4296" i="1"/>
  <c r="C4298" i="1"/>
  <c r="C4305" i="1"/>
  <c r="C4308" i="1"/>
  <c r="C4312" i="1"/>
  <c r="C4314" i="1"/>
  <c r="C4316" i="1"/>
  <c r="C4317" i="1"/>
  <c r="C4323" i="1"/>
  <c r="C4325" i="1"/>
  <c r="C4328" i="1"/>
  <c r="C4329" i="1"/>
  <c r="C4330" i="1"/>
  <c r="C4334" i="1"/>
  <c r="C4336" i="1"/>
  <c r="C4337" i="1"/>
  <c r="C4342" i="1"/>
  <c r="C4347" i="1"/>
  <c r="C4348" i="1"/>
  <c r="C4349" i="1"/>
  <c r="C4358" i="1"/>
  <c r="C4360" i="1"/>
  <c r="C4362" i="1"/>
  <c r="C4363" i="1"/>
  <c r="C4365" i="1"/>
  <c r="C4367" i="1"/>
  <c r="C4379" i="1"/>
  <c r="C4383" i="1"/>
  <c r="C4384" i="1"/>
  <c r="C4385" i="1"/>
  <c r="C4386" i="1"/>
  <c r="C4387" i="1"/>
  <c r="C4389" i="1"/>
  <c r="C4400" i="1"/>
  <c r="C4401" i="1"/>
  <c r="C4403" i="1"/>
  <c r="C4407" i="1"/>
  <c r="C4410" i="1"/>
  <c r="C4412" i="1"/>
  <c r="C4414" i="1"/>
  <c r="C4415" i="1"/>
  <c r="C4416" i="1"/>
  <c r="C4418" i="1"/>
  <c r="C4420" i="1"/>
  <c r="C4427" i="1"/>
  <c r="C4432" i="1"/>
  <c r="C4433" i="1"/>
  <c r="C4436" i="1"/>
  <c r="C4439" i="1"/>
  <c r="C4440" i="1"/>
  <c r="C4441" i="1"/>
  <c r="C4445" i="1"/>
  <c r="C4448" i="1"/>
  <c r="C4449" i="1"/>
  <c r="C4460" i="1"/>
  <c r="C4461" i="1"/>
  <c r="C4466" i="1"/>
  <c r="C4470" i="1"/>
  <c r="C4474" i="1"/>
  <c r="C4487" i="1"/>
  <c r="C4492" i="1"/>
  <c r="C4494" i="1"/>
  <c r="C4499" i="1"/>
  <c r="C4502" i="1"/>
  <c r="C4503" i="1"/>
  <c r="C4511" i="1"/>
  <c r="C4512" i="1"/>
  <c r="C4516" i="1"/>
  <c r="C4525" i="1"/>
  <c r="C4526" i="1"/>
  <c r="C4533" i="1"/>
  <c r="C4535" i="1"/>
  <c r="C4536" i="1"/>
  <c r="C4539" i="1"/>
  <c r="C4541" i="1"/>
  <c r="C4543" i="1"/>
  <c r="C4544" i="1"/>
  <c r="C4546" i="1"/>
  <c r="C4549" i="1"/>
  <c r="C4555" i="1"/>
  <c r="C4561" i="1"/>
  <c r="C4565" i="1"/>
  <c r="C4568" i="1"/>
  <c r="C4569" i="1"/>
  <c r="C4573" i="1"/>
  <c r="C4574" i="1"/>
  <c r="C4581" i="1"/>
  <c r="C4582" i="1"/>
  <c r="C4585" i="1"/>
  <c r="C4587" i="1"/>
  <c r="C4592" i="1"/>
  <c r="C4594" i="1"/>
  <c r="C4598" i="1"/>
  <c r="C4606" i="1"/>
  <c r="C4608" i="1"/>
  <c r="C4613" i="1"/>
  <c r="C4614" i="1"/>
  <c r="C4615" i="1"/>
  <c r="C4627" i="1"/>
  <c r="C4628" i="1"/>
  <c r="C4636" i="1"/>
  <c r="C4639" i="1"/>
  <c r="C4640" i="1"/>
  <c r="C4641" i="1"/>
  <c r="C4643" i="1"/>
  <c r="C4648" i="1"/>
  <c r="C4649" i="1"/>
  <c r="C4662" i="1"/>
  <c r="C4673" i="1"/>
  <c r="C4678" i="1"/>
  <c r="C4679" i="1"/>
  <c r="C4682" i="1"/>
  <c r="C4685" i="1"/>
  <c r="C4688" i="1"/>
  <c r="C4689" i="1"/>
  <c r="C4692" i="1"/>
  <c r="C4695" i="1"/>
  <c r="C4697" i="1"/>
  <c r="C4699" i="1"/>
  <c r="C4701" i="1"/>
  <c r="C4703" i="1"/>
  <c r="C4705" i="1"/>
  <c r="C4707" i="1"/>
  <c r="C4708" i="1"/>
  <c r="C4713" i="1"/>
  <c r="C4716" i="1"/>
  <c r="C4717" i="1"/>
  <c r="C4719" i="1"/>
  <c r="C4721" i="1"/>
  <c r="C4722" i="1"/>
  <c r="C4723" i="1"/>
  <c r="C4727" i="1"/>
  <c r="C4729" i="1"/>
  <c r="C4733" i="1"/>
  <c r="C4734" i="1"/>
  <c r="C4735" i="1"/>
  <c r="C4746" i="1"/>
  <c r="C4747" i="1"/>
  <c r="C4763" i="1"/>
  <c r="C4770" i="1"/>
  <c r="C4772" i="1"/>
  <c r="C4778" i="1"/>
  <c r="C4782" i="1"/>
  <c r="C4785" i="1"/>
  <c r="C4786" i="1"/>
  <c r="C4790" i="1"/>
  <c r="C4793" i="1"/>
  <c r="C4794" i="1"/>
  <c r="C4803" i="1"/>
  <c r="C4804" i="1"/>
  <c r="C4808" i="1"/>
  <c r="C4809" i="1"/>
  <c r="C4811" i="1"/>
  <c r="C4813" i="1"/>
  <c r="C4816" i="1"/>
  <c r="C4819" i="1"/>
  <c r="C4831" i="1"/>
  <c r="C4840" i="1"/>
  <c r="C4857" i="1"/>
  <c r="C4860" i="1"/>
  <c r="C4868" i="1"/>
  <c r="C4872" i="1"/>
  <c r="C4874" i="1"/>
  <c r="C4876" i="1"/>
  <c r="C4877" i="1"/>
  <c r="C4899" i="1"/>
  <c r="C4901" i="1"/>
  <c r="C4904" i="1"/>
  <c r="C4906" i="1"/>
  <c r="C4907" i="1"/>
  <c r="C4910" i="1"/>
  <c r="C4915" i="1"/>
  <c r="C4926" i="1"/>
  <c r="C4929" i="1"/>
  <c r="C4934" i="1"/>
  <c r="C4943" i="1"/>
  <c r="C4948" i="1"/>
  <c r="C4952" i="1"/>
  <c r="C4955" i="1"/>
  <c r="C4956" i="1"/>
  <c r="C4975" i="1"/>
  <c r="C4978" i="1"/>
  <c r="C4986" i="1"/>
  <c r="C4991" i="1"/>
  <c r="C4992" i="1"/>
  <c r="C4998" i="1"/>
  <c r="C5008" i="1"/>
  <c r="C5012" i="1"/>
  <c r="C5015" i="1"/>
  <c r="C5019" i="1"/>
  <c r="C5020" i="1"/>
  <c r="C5026" i="1"/>
  <c r="C5028" i="1"/>
  <c r="C5029" i="1"/>
  <c r="C5034" i="1"/>
  <c r="C5037" i="1"/>
  <c r="C5039" i="1"/>
  <c r="C5040" i="1"/>
  <c r="C5043" i="1"/>
  <c r="C5054" i="1"/>
  <c r="C5055" i="1"/>
  <c r="C5056" i="1"/>
  <c r="C5062" i="1"/>
  <c r="C5102" i="1"/>
  <c r="C5112" i="1"/>
  <c r="C5115" i="1"/>
  <c r="C5118" i="1"/>
  <c r="C5120" i="1"/>
  <c r="C5123" i="1"/>
  <c r="C5127" i="1"/>
  <c r="C5137" i="1"/>
  <c r="C5142" i="1"/>
  <c r="C5166" i="1"/>
  <c r="C5187" i="1"/>
  <c r="C5198" i="1"/>
  <c r="C5199" i="1"/>
  <c r="C5202" i="1"/>
  <c r="C5204" i="1"/>
  <c r="C5205" i="1"/>
  <c r="C5206" i="1"/>
  <c r="C5216" i="1"/>
  <c r="C5217" i="1"/>
  <c r="C5218" i="1"/>
  <c r="C5222" i="1"/>
  <c r="C5223" i="1"/>
  <c r="C5226" i="1"/>
  <c r="C5228" i="1"/>
  <c r="C5236" i="1"/>
  <c r="C5240" i="1"/>
  <c r="C5248" i="1"/>
  <c r="C5252" i="1"/>
  <c r="C5254" i="1"/>
  <c r="C5255" i="1"/>
  <c r="C5256" i="1"/>
  <c r="C5257" i="1"/>
  <c r="C5258" i="1"/>
  <c r="C5259" i="1"/>
  <c r="C5261" i="1"/>
  <c r="C5262" i="1"/>
  <c r="C5265" i="1"/>
  <c r="C5266" i="1"/>
  <c r="C5268" i="1"/>
  <c r="C5272" i="1"/>
  <c r="C5276" i="1"/>
  <c r="C5277" i="1"/>
  <c r="C5306" i="1"/>
  <c r="C5335" i="1"/>
  <c r="C5336" i="1"/>
  <c r="C5338" i="1"/>
  <c r="C5351" i="1"/>
  <c r="C5353" i="1"/>
  <c r="C5355" i="1"/>
  <c r="C5356" i="1"/>
  <c r="C5364" i="1"/>
  <c r="C5370" i="1"/>
  <c r="C5371" i="1"/>
  <c r="C5375" i="1"/>
  <c r="C5379" i="1"/>
  <c r="C5402" i="1"/>
  <c r="C5416" i="1"/>
  <c r="C5418" i="1"/>
  <c r="C5420" i="1"/>
  <c r="C5428" i="1"/>
  <c r="C5431" i="1"/>
  <c r="C5444" i="1"/>
  <c r="C5459" i="1"/>
  <c r="C5474" i="1"/>
  <c r="C5496" i="1"/>
  <c r="C5506" i="1"/>
  <c r="C5524" i="1"/>
  <c r="C5549" i="1"/>
  <c r="C5552" i="1"/>
  <c r="C5555" i="1"/>
  <c r="C5556" i="1"/>
  <c r="C5570" i="1"/>
  <c r="C5572" i="1"/>
  <c r="C5574" i="1"/>
  <c r="C5579" i="1"/>
  <c r="C5583" i="1"/>
  <c r="C5584" i="1"/>
  <c r="C5587" i="1"/>
  <c r="C5588" i="1"/>
  <c r="C5589" i="1"/>
  <c r="C5590" i="1"/>
  <c r="C5591" i="1"/>
  <c r="C5602" i="1"/>
  <c r="C5611" i="1"/>
  <c r="C5613" i="1"/>
  <c r="C5614" i="1"/>
  <c r="C5629" i="1"/>
  <c r="C5653" i="1"/>
  <c r="C5656" i="1"/>
  <c r="C5662" i="1"/>
  <c r="C5663" i="1"/>
  <c r="C5675" i="1"/>
  <c r="C5680" i="1"/>
  <c r="C5682" i="1"/>
  <c r="C5690" i="1"/>
  <c r="C5705" i="1"/>
  <c r="C5709" i="1"/>
  <c r="C5715" i="1"/>
  <c r="C5736" i="1"/>
  <c r="C5754" i="1"/>
  <c r="C5759" i="1"/>
  <c r="C5762" i="1"/>
  <c r="C5786" i="1"/>
  <c r="C5798" i="1"/>
  <c r="C5837" i="1"/>
  <c r="C5838" i="1"/>
  <c r="C5849" i="1"/>
  <c r="C5882" i="1"/>
  <c r="C5896" i="1"/>
  <c r="C5898" i="1"/>
  <c r="C5903" i="1"/>
  <c r="C5905" i="1"/>
  <c r="C5916" i="1"/>
  <c r="C5917" i="1"/>
  <c r="C5923" i="1"/>
  <c r="C5939" i="1"/>
  <c r="C5945" i="1"/>
  <c r="C5958" i="1"/>
  <c r="C5981" i="1"/>
  <c r="C6000" i="1"/>
  <c r="C6001" i="1"/>
  <c r="C6002" i="1"/>
  <c r="C6011" i="1"/>
  <c r="C6019" i="1"/>
  <c r="C6040" i="1"/>
  <c r="C6042" i="1"/>
  <c r="C6064" i="1"/>
  <c r="C6070" i="1"/>
  <c r="C6092" i="1"/>
  <c r="C6096" i="1"/>
  <c r="C6098" i="1"/>
  <c r="C6102" i="1"/>
  <c r="C6107" i="1"/>
  <c r="C6112" i="1"/>
  <c r="C6116" i="1"/>
  <c r="C6124" i="1"/>
  <c r="C6127" i="1"/>
  <c r="C6149" i="1"/>
  <c r="C6154" i="1"/>
  <c r="C6159" i="1"/>
  <c r="C6164" i="1"/>
  <c r="C6172" i="1"/>
  <c r="C6181" i="1"/>
  <c r="C6186" i="1"/>
  <c r="C6188" i="1"/>
  <c r="C6199" i="1"/>
  <c r="C6202" i="1"/>
  <c r="C6211" i="1"/>
  <c r="C6234" i="1"/>
  <c r="C6237" i="1"/>
  <c r="C6238" i="1"/>
  <c r="C6254" i="1"/>
  <c r="C6260" i="1"/>
  <c r="C6262" i="1"/>
  <c r="C6286" i="1"/>
  <c r="C6288" i="1"/>
  <c r="C6293" i="1"/>
  <c r="C6299" i="1"/>
  <c r="C6306" i="1"/>
  <c r="C6326" i="1"/>
  <c r="C6327" i="1"/>
  <c r="C6329" i="1"/>
  <c r="C6355" i="1"/>
  <c r="C6385" i="1"/>
  <c r="C6408" i="1"/>
  <c r="C6428" i="1"/>
  <c r="C6445" i="1"/>
  <c r="C6452" i="1"/>
  <c r="C6478" i="1"/>
  <c r="C6479" i="1"/>
  <c r="C6480" i="1"/>
  <c r="C6489" i="1"/>
  <c r="C6498" i="1"/>
  <c r="C6505" i="1"/>
  <c r="C6511" i="1"/>
  <c r="C6512" i="1"/>
  <c r="C6521" i="1"/>
  <c r="C6522" i="1"/>
  <c r="C6526" i="1"/>
  <c r="C6551" i="1"/>
  <c r="C6574" i="1"/>
  <c r="C6577" i="1"/>
  <c r="C6578" i="1"/>
  <c r="C6587" i="1"/>
  <c r="C6588" i="1"/>
  <c r="C6596" i="1"/>
  <c r="C6604" i="1"/>
  <c r="C6618" i="1"/>
  <c r="C6630" i="1"/>
  <c r="C6635" i="1"/>
  <c r="C6652" i="1"/>
  <c r="C6654" i="1"/>
  <c r="C6660" i="1"/>
  <c r="C6665" i="1"/>
  <c r="C6669" i="1"/>
  <c r="C6710" i="1"/>
  <c r="C6711" i="1"/>
  <c r="C6717" i="1"/>
  <c r="C6723" i="1"/>
  <c r="C6725" i="1"/>
  <c r="C6728" i="1"/>
  <c r="C6740" i="1"/>
  <c r="C6765" i="1"/>
  <c r="C6789" i="1"/>
  <c r="C6796" i="1"/>
  <c r="C6803" i="1"/>
  <c r="C6807" i="1"/>
  <c r="C6808" i="1"/>
  <c r="C6809" i="1"/>
  <c r="C6816" i="1"/>
  <c r="C6821" i="1"/>
  <c r="C6827" i="1"/>
  <c r="C6834" i="1"/>
  <c r="C6837" i="1"/>
  <c r="C6839" i="1"/>
  <c r="C6848" i="1"/>
  <c r="C6849" i="1"/>
  <c r="C6856" i="1"/>
  <c r="C6862" i="1"/>
  <c r="C6878" i="1"/>
  <c r="C6884" i="1"/>
  <c r="C6885" i="1"/>
  <c r="C6898" i="1"/>
  <c r="C6906" i="1"/>
  <c r="C6917" i="1"/>
  <c r="C6921" i="1"/>
  <c r="C6925" i="1"/>
  <c r="C6932" i="1"/>
  <c r="C6949" i="1"/>
  <c r="C6956" i="1"/>
  <c r="C6957" i="1"/>
  <c r="C6972" i="1"/>
  <c r="C6975" i="1"/>
  <c r="C6988" i="1"/>
  <c r="C6995" i="1"/>
  <c r="C7005" i="1"/>
  <c r="C7012" i="1"/>
  <c r="C7016" i="1"/>
  <c r="C7023" i="1"/>
  <c r="C7027" i="1"/>
  <c r="C7028" i="1"/>
  <c r="C7039" i="1"/>
  <c r="C7047" i="1"/>
  <c r="C7050" i="1"/>
  <c r="C7053" i="1"/>
  <c r="C7061" i="1"/>
  <c r="C7064" i="1"/>
  <c r="C7065" i="1"/>
  <c r="C7068" i="1"/>
  <c r="C7077" i="1"/>
  <c r="C7084" i="1"/>
  <c r="C7086" i="1"/>
  <c r="C7090" i="1"/>
  <c r="C7091" i="1"/>
  <c r="C7119" i="1"/>
  <c r="C7120" i="1"/>
  <c r="C7124" i="1"/>
  <c r="C7126" i="1"/>
  <c r="C7127" i="1"/>
  <c r="C7129" i="1"/>
  <c r="C7134" i="1"/>
  <c r="C7135" i="1"/>
  <c r="C7136" i="1"/>
  <c r="C7141" i="1"/>
  <c r="C7147" i="1"/>
  <c r="C7148" i="1"/>
  <c r="C7153" i="1"/>
  <c r="C7155" i="1"/>
  <c r="C7156" i="1"/>
  <c r="C7161" i="1"/>
  <c r="C7162" i="1"/>
  <c r="C7163" i="1"/>
  <c r="C7165" i="1"/>
  <c r="C7167" i="1"/>
  <c r="C7168" i="1"/>
  <c r="C7172" i="1"/>
  <c r="C7174" i="1"/>
  <c r="C7175" i="1"/>
  <c r="C7176" i="1"/>
  <c r="C7177" i="1"/>
  <c r="C7179" i="1"/>
  <c r="C7181" i="1"/>
  <c r="C7184" i="1"/>
  <c r="C7185" i="1"/>
  <c r="C7186" i="1"/>
  <c r="C7187" i="1"/>
  <c r="C7193" i="1"/>
  <c r="C7194" i="1"/>
  <c r="C7196" i="1"/>
  <c r="C7199" i="1"/>
  <c r="C7200" i="1"/>
  <c r="C7201" i="1"/>
  <c r="C7205" i="1"/>
  <c r="C7206" i="1"/>
  <c r="C7208" i="1"/>
  <c r="C7211" i="1"/>
  <c r="C7213" i="1"/>
  <c r="C7221" i="1"/>
  <c r="C7224" i="1"/>
  <c r="C7230" i="1"/>
  <c r="C7231" i="1"/>
  <c r="C7235" i="1"/>
  <c r="C7243" i="1"/>
  <c r="C7250" i="1"/>
  <c r="C7256" i="1"/>
  <c r="C7257" i="1"/>
  <c r="C7261" i="1"/>
  <c r="C7265" i="1"/>
  <c r="C7266" i="1"/>
  <c r="C7277" i="1"/>
  <c r="C7283" i="1"/>
  <c r="C7285" i="1"/>
  <c r="C7290" i="1"/>
  <c r="C7292" i="1"/>
  <c r="C7293" i="1"/>
  <c r="C7296" i="1"/>
  <c r="C7297" i="1"/>
  <c r="C7311" i="1"/>
  <c r="C7319" i="1"/>
  <c r="C7324" i="1"/>
  <c r="C7327" i="1"/>
  <c r="C7337" i="1"/>
  <c r="C7339" i="1"/>
  <c r="C7340" i="1"/>
  <c r="C7341" i="1"/>
  <c r="C7342" i="1"/>
  <c r="C7344" i="1"/>
  <c r="C7347" i="1"/>
  <c r="C7348" i="1"/>
  <c r="C7349" i="1"/>
  <c r="C7351" i="1"/>
  <c r="C7352" i="1"/>
  <c r="C7353" i="1"/>
  <c r="C7357" i="1"/>
  <c r="C7360" i="1"/>
  <c r="C7362" i="1"/>
  <c r="C7367" i="1"/>
  <c r="C7368" i="1"/>
  <c r="C7378" i="1"/>
  <c r="C7381" i="1"/>
  <c r="C7389" i="1"/>
  <c r="C7405" i="1"/>
  <c r="C7419" i="1"/>
  <c r="C7421" i="1"/>
  <c r="C7422" i="1"/>
  <c r="C7427" i="1"/>
  <c r="C7432" i="1"/>
  <c r="C7435" i="1"/>
  <c r="C7440" i="1"/>
  <c r="C7444" i="1"/>
  <c r="C7445" i="1"/>
  <c r="C7456" i="1"/>
  <c r="C7460" i="1"/>
  <c r="C7466" i="1"/>
  <c r="C7472" i="1"/>
  <c r="C7473" i="1"/>
  <c r="C7475" i="1"/>
  <c r="D7475" i="1" s="1"/>
  <c r="C7476" i="1"/>
  <c r="C7482" i="1"/>
  <c r="D7482" i="1" s="1"/>
  <c r="C7484" i="1"/>
  <c r="C7486" i="1"/>
  <c r="D7486" i="1" s="1"/>
  <c r="C7489" i="1"/>
  <c r="C7492" i="1"/>
  <c r="D7492" i="1" s="1"/>
  <c r="C7504" i="1"/>
  <c r="C7505" i="1"/>
  <c r="D7505" i="1" s="1"/>
  <c r="C7512" i="1"/>
  <c r="C7514" i="1"/>
  <c r="D7514" i="1" s="1"/>
  <c r="C7516" i="1"/>
  <c r="C7531" i="1"/>
  <c r="D7531" i="1" s="1"/>
  <c r="C7539" i="1"/>
  <c r="C7540" i="1"/>
  <c r="D7540" i="1" s="1"/>
  <c r="C7541" i="1"/>
  <c r="C7543" i="1"/>
  <c r="D7543" i="1" s="1"/>
  <c r="C7548" i="1"/>
  <c r="C7555" i="1"/>
  <c r="D7555" i="1" s="1"/>
  <c r="C7556" i="1"/>
  <c r="C7557" i="1"/>
  <c r="D7557" i="1" s="1"/>
  <c r="C7559" i="1"/>
  <c r="C7563" i="1"/>
  <c r="D7563" i="1" s="1"/>
  <c r="C7564" i="1"/>
  <c r="C7567" i="1"/>
  <c r="D7567" i="1" s="1"/>
  <c r="C7568" i="1"/>
  <c r="C7570" i="1"/>
  <c r="D7570" i="1" s="1"/>
  <c r="C7572" i="1"/>
  <c r="C7573" i="1"/>
  <c r="D7573" i="1" s="1"/>
  <c r="C7576" i="1"/>
  <c r="C7582" i="1"/>
  <c r="D7582" i="1" s="1"/>
  <c r="C7584" i="1"/>
  <c r="C7589" i="1"/>
  <c r="D7589" i="1" s="1"/>
  <c r="C7591" i="1"/>
  <c r="C7595" i="1"/>
  <c r="D7595" i="1" s="1"/>
  <c r="C7596" i="1"/>
  <c r="C7603" i="1"/>
  <c r="D7603" i="1" s="1"/>
  <c r="C7605" i="1"/>
  <c r="C7612" i="1"/>
  <c r="D7612" i="1" s="1"/>
  <c r="C7616" i="1"/>
  <c r="C7617" i="1"/>
  <c r="D7617" i="1" s="1"/>
  <c r="C7629" i="1"/>
  <c r="C7630" i="1"/>
  <c r="D7630" i="1" s="1"/>
  <c r="C7634" i="1"/>
  <c r="C7635" i="1"/>
  <c r="D7635" i="1" s="1"/>
  <c r="C7647" i="1"/>
  <c r="C7649" i="1"/>
  <c r="D7649" i="1" s="1"/>
  <c r="C7658" i="1"/>
  <c r="C7659" i="1"/>
  <c r="D7659" i="1" s="1"/>
  <c r="C7666" i="1"/>
  <c r="C7670" i="1"/>
  <c r="D7670" i="1" s="1"/>
  <c r="C7671" i="1"/>
  <c r="C7673" i="1"/>
  <c r="D7673" i="1" s="1"/>
  <c r="C7675" i="1"/>
  <c r="C7677" i="1"/>
  <c r="D7677" i="1" s="1"/>
  <c r="C7679" i="1"/>
  <c r="C7684" i="1"/>
  <c r="D7684" i="1" s="1"/>
  <c r="C7690" i="1"/>
  <c r="C7694" i="1"/>
  <c r="D7694" i="1" s="1"/>
  <c r="C7702" i="1"/>
  <c r="C7706" i="1"/>
  <c r="D7706" i="1" s="1"/>
  <c r="C7716" i="1"/>
  <c r="C7719" i="1"/>
  <c r="D7719" i="1" s="1"/>
  <c r="C7720" i="1"/>
  <c r="C7721" i="1"/>
  <c r="D7721" i="1" s="1"/>
  <c r="C7723" i="1"/>
  <c r="C7730" i="1"/>
  <c r="D7730" i="1" s="1"/>
  <c r="C7732" i="1"/>
  <c r="C7733" i="1"/>
  <c r="D7733" i="1" s="1"/>
  <c r="C7734" i="1"/>
  <c r="C7735" i="1"/>
  <c r="D7735" i="1" s="1"/>
  <c r="C7736" i="1"/>
  <c r="C7740" i="1"/>
  <c r="D7740" i="1" s="1"/>
  <c r="C7743" i="1"/>
  <c r="C7744" i="1"/>
  <c r="D7744" i="1" s="1"/>
  <c r="C7746" i="1"/>
  <c r="C7747" i="1"/>
  <c r="D7747" i="1" s="1"/>
  <c r="C7752" i="1"/>
  <c r="C7755" i="1"/>
  <c r="D7755" i="1" s="1"/>
  <c r="C7756" i="1"/>
  <c r="C7760" i="1"/>
  <c r="D7760" i="1" s="1"/>
  <c r="C7764" i="1"/>
  <c r="C7773" i="1"/>
  <c r="D7773" i="1" s="1"/>
  <c r="C7778" i="1"/>
  <c r="C7785" i="1"/>
  <c r="D7785" i="1" s="1"/>
  <c r="C7786" i="1"/>
  <c r="C7797" i="1"/>
  <c r="D7797" i="1" s="1"/>
  <c r="C7801" i="1"/>
  <c r="C7804" i="1"/>
  <c r="D7804" i="1" s="1"/>
  <c r="C7805" i="1"/>
  <c r="C7806" i="1"/>
  <c r="D7806" i="1" s="1"/>
  <c r="C7815" i="1"/>
  <c r="C7817" i="1"/>
  <c r="D7817" i="1" s="1"/>
  <c r="C7818" i="1"/>
  <c r="C7824" i="1"/>
  <c r="D7824" i="1" s="1"/>
  <c r="C7827" i="1"/>
  <c r="C7828" i="1"/>
  <c r="D7828" i="1" s="1"/>
  <c r="C7829" i="1"/>
  <c r="C7830" i="1"/>
  <c r="D7830" i="1" s="1"/>
  <c r="C7834" i="1"/>
  <c r="C7835" i="1"/>
  <c r="D7835" i="1" s="1"/>
  <c r="C7837" i="1"/>
  <c r="C7847" i="1"/>
  <c r="D7847" i="1" s="1"/>
  <c r="C7849" i="1"/>
  <c r="C7850" i="1"/>
  <c r="D7850" i="1" s="1"/>
  <c r="C7851" i="1"/>
  <c r="C7853" i="1"/>
  <c r="D7853" i="1" s="1"/>
  <c r="C7855" i="1"/>
  <c r="C7856" i="1"/>
  <c r="D7856" i="1" s="1"/>
  <c r="C7858" i="1"/>
  <c r="C7862" i="1"/>
  <c r="D7862" i="1" s="1"/>
  <c r="C7870" i="1"/>
  <c r="C7872" i="1"/>
  <c r="D7872" i="1" s="1"/>
  <c r="C7873" i="1"/>
  <c r="C7875" i="1"/>
  <c r="D7875" i="1" s="1"/>
  <c r="C7879" i="1"/>
  <c r="C7880" i="1"/>
  <c r="D7880" i="1" s="1"/>
  <c r="C7882" i="1"/>
  <c r="C7897" i="1"/>
  <c r="D7897" i="1" s="1"/>
  <c r="C7898" i="1"/>
  <c r="C7904" i="1"/>
  <c r="D7904" i="1" s="1"/>
  <c r="C7905" i="1"/>
  <c r="C7906" i="1"/>
  <c r="D7906" i="1" s="1"/>
  <c r="C7909" i="1"/>
  <c r="C7915" i="1"/>
  <c r="D7915" i="1" s="1"/>
  <c r="C7916" i="1"/>
  <c r="C7919" i="1"/>
  <c r="D7919" i="1" s="1"/>
  <c r="C7929" i="1"/>
  <c r="C7930" i="1"/>
  <c r="D7930" i="1" s="1"/>
  <c r="C7931" i="1"/>
  <c r="C7932" i="1"/>
  <c r="D7932" i="1" s="1"/>
  <c r="C7933" i="1"/>
  <c r="C7945" i="1"/>
  <c r="D7945" i="1" s="1"/>
  <c r="C7949" i="1"/>
  <c r="C7959" i="1"/>
  <c r="D7959" i="1" s="1"/>
  <c r="C7960" i="1"/>
  <c r="C7964" i="1"/>
  <c r="D7964" i="1" s="1"/>
  <c r="C7965" i="1"/>
  <c r="C7967" i="1"/>
  <c r="D7967" i="1" s="1"/>
  <c r="C7977" i="1"/>
  <c r="C7982" i="1"/>
  <c r="D7982" i="1" s="1"/>
  <c r="C7984" i="1"/>
  <c r="C7987" i="1"/>
  <c r="D7987" i="1" s="1"/>
  <c r="C7988" i="1"/>
  <c r="C7995" i="1"/>
  <c r="D7995" i="1" s="1"/>
  <c r="C8001" i="1"/>
  <c r="C8003" i="1"/>
  <c r="D8003" i="1" s="1"/>
  <c r="C8014" i="1"/>
  <c r="C8018" i="1"/>
  <c r="D8018" i="1" s="1"/>
  <c r="C8019" i="1"/>
  <c r="C8029" i="1"/>
  <c r="D8029" i="1" s="1"/>
  <c r="C8030" i="1"/>
  <c r="C8031" i="1"/>
  <c r="D8031" i="1" s="1"/>
  <c r="C8032" i="1"/>
  <c r="C8033" i="1"/>
  <c r="D8033" i="1" s="1"/>
  <c r="C8035" i="1"/>
  <c r="C8036" i="1"/>
  <c r="D8036" i="1" s="1"/>
  <c r="C8047" i="1"/>
  <c r="C8049" i="1"/>
  <c r="D8049" i="1" s="1"/>
  <c r="C8051" i="1"/>
  <c r="C8052" i="1"/>
  <c r="D8052" i="1" s="1"/>
  <c r="C8053" i="1"/>
  <c r="C8059" i="1"/>
  <c r="D8059" i="1" s="1"/>
  <c r="C8064" i="1"/>
  <c r="C8067" i="1"/>
  <c r="D8067" i="1" s="1"/>
  <c r="C8069" i="1"/>
  <c r="C8076" i="1"/>
  <c r="D8076" i="1" s="1"/>
  <c r="C8080" i="1"/>
  <c r="C8082" i="1"/>
  <c r="D8082" i="1" s="1"/>
  <c r="C8087" i="1"/>
  <c r="C8088" i="1"/>
  <c r="D8088" i="1" s="1"/>
  <c r="C8093" i="1"/>
  <c r="C8096" i="1"/>
  <c r="D8096" i="1" s="1"/>
  <c r="C8101" i="1"/>
  <c r="C8105" i="1"/>
  <c r="D8105" i="1" s="1"/>
  <c r="C8108" i="1"/>
  <c r="C8118" i="1"/>
  <c r="D8118" i="1" s="1"/>
  <c r="C8124" i="1"/>
  <c r="C8127" i="1"/>
  <c r="D8127" i="1" s="1"/>
  <c r="C8132" i="1"/>
  <c r="C8134" i="1"/>
  <c r="D8134" i="1" s="1"/>
  <c r="C8138" i="1"/>
  <c r="C8140" i="1"/>
  <c r="D8140" i="1" s="1"/>
  <c r="C8149" i="1"/>
  <c r="C8167" i="1"/>
  <c r="D8167" i="1" s="1"/>
  <c r="C8170" i="1"/>
  <c r="C8176" i="1"/>
  <c r="D8176" i="1" s="1"/>
  <c r="C8184" i="1"/>
  <c r="C8186" i="1"/>
  <c r="D8186" i="1" s="1"/>
  <c r="C8188" i="1"/>
  <c r="C8191" i="1"/>
  <c r="D8191" i="1" s="1"/>
  <c r="C8192" i="1"/>
  <c r="C8193" i="1"/>
  <c r="D8193" i="1" s="1"/>
  <c r="C8199" i="1"/>
  <c r="C8200" i="1"/>
  <c r="D8200" i="1" s="1"/>
  <c r="C8207" i="1"/>
  <c r="C8213" i="1"/>
  <c r="D8213" i="1" s="1"/>
  <c r="C8215" i="1"/>
  <c r="C8220" i="1"/>
  <c r="D8220" i="1" s="1"/>
  <c r="C8222" i="1"/>
  <c r="C8224" i="1"/>
  <c r="D8224" i="1" s="1"/>
  <c r="C8227" i="1"/>
  <c r="C8233" i="1"/>
  <c r="D8233" i="1" s="1"/>
  <c r="C8241" i="1"/>
  <c r="C8245" i="1"/>
  <c r="D8245" i="1" s="1"/>
  <c r="C8253" i="1"/>
  <c r="C8256" i="1"/>
  <c r="D8256" i="1" s="1"/>
  <c r="C8259" i="1"/>
  <c r="C8264" i="1"/>
  <c r="D8264" i="1" s="1"/>
  <c r="C8267" i="1"/>
  <c r="C8271" i="1"/>
  <c r="D8271" i="1" s="1"/>
  <c r="C8278" i="1"/>
  <c r="C8281" i="1"/>
  <c r="D8281" i="1" s="1"/>
  <c r="C8283" i="1"/>
  <c r="C8284" i="1"/>
  <c r="D8284" i="1" s="1"/>
  <c r="C8287" i="1"/>
  <c r="C8289" i="1"/>
  <c r="D8289" i="1" s="1"/>
  <c r="C8290" i="1"/>
  <c r="C8291" i="1"/>
  <c r="D8291" i="1" s="1"/>
  <c r="C8292" i="1"/>
  <c r="C8294" i="1"/>
  <c r="D8294" i="1" s="1"/>
  <c r="C8295" i="1"/>
  <c r="C8297" i="1"/>
  <c r="D8297" i="1" s="1"/>
  <c r="C8298" i="1"/>
  <c r="C8299" i="1"/>
  <c r="D8299" i="1" s="1"/>
  <c r="C8300" i="1"/>
  <c r="C8303" i="1"/>
  <c r="D8303" i="1" s="1"/>
  <c r="C8305" i="1"/>
  <c r="C8306" i="1"/>
  <c r="D8306" i="1" s="1"/>
  <c r="C8308" i="1"/>
  <c r="C8309" i="1"/>
  <c r="D8309" i="1" s="1"/>
  <c r="C8317" i="1"/>
  <c r="C8318" i="1"/>
  <c r="D8318" i="1" s="1"/>
  <c r="C8319" i="1"/>
  <c r="C8324" i="1"/>
  <c r="D8324" i="1" s="1"/>
  <c r="C8325" i="1"/>
  <c r="C8326" i="1"/>
  <c r="D8326" i="1" s="1"/>
  <c r="C8327" i="1"/>
  <c r="C8328" i="1"/>
  <c r="D8328" i="1" s="1"/>
  <c r="C8329" i="1"/>
  <c r="C8330" i="1"/>
  <c r="D8330" i="1" s="1"/>
  <c r="C8332" i="1"/>
  <c r="C8334" i="1"/>
  <c r="D8334" i="1" s="1"/>
  <c r="C8337" i="1"/>
  <c r="C8338" i="1"/>
  <c r="D8338" i="1" s="1"/>
  <c r="C8340" i="1"/>
  <c r="C8341" i="1"/>
  <c r="D8341" i="1" s="1"/>
  <c r="C8342" i="1"/>
  <c r="C8343" i="1"/>
  <c r="D8343" i="1" s="1"/>
  <c r="C8344" i="1"/>
  <c r="C8345" i="1"/>
  <c r="D8345" i="1" s="1"/>
  <c r="C8349" i="1"/>
  <c r="C8350" i="1"/>
  <c r="D8350" i="1" s="1"/>
  <c r="C8351" i="1"/>
  <c r="C8353" i="1"/>
  <c r="D8353" i="1" s="1"/>
  <c r="C8354" i="1"/>
  <c r="C8357" i="1"/>
  <c r="D8357" i="1" s="1"/>
  <c r="C8358" i="1"/>
  <c r="C8361" i="1"/>
  <c r="D8361" i="1" s="1"/>
  <c r="C8363" i="1"/>
  <c r="C8372" i="1"/>
  <c r="D8372" i="1" s="1"/>
  <c r="C8381" i="1"/>
  <c r="C8383" i="1"/>
  <c r="D8383" i="1" s="1"/>
  <c r="C8384" i="1"/>
  <c r="C8398" i="1"/>
  <c r="D8398" i="1" s="1"/>
  <c r="C8401" i="1"/>
  <c r="C8430" i="1"/>
  <c r="D8430" i="1" s="1"/>
  <c r="C8436" i="1"/>
  <c r="C8437" i="1"/>
  <c r="D8437" i="1" s="1"/>
  <c r="C8438" i="1"/>
  <c r="C8466" i="1"/>
  <c r="D8466" i="1" s="1"/>
  <c r="C8478" i="1"/>
  <c r="C8483" i="1"/>
  <c r="D8483" i="1" s="1"/>
  <c r="C8492" i="1"/>
  <c r="C8493" i="1"/>
  <c r="D8493" i="1" s="1"/>
  <c r="C8497" i="1"/>
  <c r="C8500" i="1"/>
  <c r="D8500" i="1" s="1"/>
  <c r="C8503" i="1"/>
  <c r="C8516" i="1"/>
  <c r="D8516" i="1" s="1"/>
  <c r="C8517" i="1"/>
  <c r="C8519" i="1"/>
  <c r="D8519" i="1" s="1"/>
  <c r="C8521" i="1"/>
  <c r="C8523" i="1"/>
  <c r="D8523" i="1" s="1"/>
  <c r="C8524" i="1"/>
  <c r="C8525" i="1"/>
  <c r="D8525" i="1" s="1"/>
  <c r="C8526" i="1"/>
  <c r="C8527" i="1"/>
  <c r="D8527" i="1" s="1"/>
  <c r="C8529" i="1"/>
  <c r="C8530" i="1"/>
  <c r="D8530" i="1" s="1"/>
  <c r="C8532" i="1"/>
  <c r="C8534" i="1"/>
  <c r="D8534" i="1" s="1"/>
  <c r="C8535" i="1"/>
  <c r="C8536" i="1"/>
  <c r="D8536" i="1" s="1"/>
  <c r="C8537" i="1"/>
  <c r="C8540" i="1"/>
  <c r="C8542" i="1"/>
  <c r="C8544" i="1"/>
  <c r="D8544" i="1" s="1"/>
  <c r="C8545" i="1"/>
  <c r="C8546" i="1"/>
  <c r="D8546" i="1" s="1"/>
  <c r="C8547" i="1"/>
  <c r="C8548" i="1"/>
  <c r="D8548" i="1" s="1"/>
  <c r="C8549" i="1"/>
  <c r="C8551" i="1"/>
  <c r="D8551" i="1" s="1"/>
  <c r="C8552" i="1"/>
  <c r="C8553" i="1"/>
  <c r="D8553" i="1" s="1"/>
  <c r="C8555" i="1"/>
  <c r="C8556" i="1"/>
  <c r="D8556" i="1" s="1"/>
  <c r="C8557" i="1"/>
  <c r="C8558" i="1"/>
  <c r="D8558" i="1" s="1"/>
  <c r="C8561" i="1"/>
  <c r="C8562" i="1"/>
  <c r="D8562" i="1" s="1"/>
  <c r="C8563" i="1"/>
  <c r="C8564" i="1"/>
  <c r="D8564" i="1" s="1"/>
  <c r="C8565" i="1"/>
  <c r="C8566" i="1"/>
  <c r="D8566" i="1" s="1"/>
  <c r="C8567" i="1"/>
  <c r="C8568" i="1"/>
  <c r="D8568" i="1" s="1"/>
  <c r="C8569" i="1"/>
  <c r="C8571" i="1"/>
  <c r="D8571" i="1" s="1"/>
  <c r="C8572" i="1"/>
  <c r="C8573" i="1"/>
  <c r="D8573" i="1" s="1"/>
  <c r="C8574" i="1"/>
  <c r="C8576" i="1"/>
  <c r="D8576" i="1" s="1"/>
  <c r="C8577" i="1"/>
  <c r="C8578" i="1"/>
  <c r="D8578" i="1" s="1"/>
  <c r="C8579" i="1"/>
  <c r="C8582" i="1"/>
  <c r="C8583" i="1"/>
  <c r="C8584" i="1"/>
  <c r="D8584" i="1" s="1"/>
  <c r="C8585" i="1"/>
  <c r="C8586" i="1"/>
  <c r="D8586" i="1" s="1"/>
  <c r="C8588" i="1"/>
  <c r="C8589" i="1"/>
  <c r="D8589" i="1" s="1"/>
  <c r="C8590" i="1"/>
  <c r="C8592" i="1"/>
  <c r="D8592" i="1" s="1"/>
  <c r="C8595" i="1"/>
  <c r="C8597" i="1"/>
  <c r="D8597" i="1" s="1"/>
  <c r="C8598" i="1"/>
  <c r="C8602" i="1"/>
  <c r="D8602" i="1" s="1"/>
  <c r="C8608" i="1"/>
  <c r="C8610" i="1"/>
  <c r="D8610" i="1" s="1"/>
  <c r="C8611" i="1"/>
  <c r="C8614" i="1"/>
  <c r="D8614" i="1" s="1"/>
  <c r="C8619" i="1"/>
  <c r="C8621" i="1"/>
  <c r="D8621" i="1" s="1"/>
  <c r="C8630" i="1"/>
  <c r="C8634" i="1"/>
  <c r="D8634" i="1" s="1"/>
  <c r="C8635" i="1"/>
  <c r="C8636" i="1"/>
  <c r="D8636" i="1" s="1"/>
  <c r="C8639" i="1"/>
  <c r="C8644" i="1"/>
  <c r="D8644" i="1" s="1"/>
  <c r="C8646" i="1"/>
  <c r="C8657" i="1"/>
  <c r="D8657" i="1" s="1"/>
  <c r="C8659" i="1"/>
  <c r="C8661" i="1"/>
  <c r="D8661" i="1" s="1"/>
  <c r="C8663" i="1"/>
  <c r="C8668" i="1"/>
  <c r="D8668" i="1" s="1"/>
  <c r="C8669" i="1"/>
  <c r="C8680" i="1"/>
  <c r="C8681" i="1"/>
  <c r="C8682" i="1"/>
  <c r="D8682" i="1" s="1"/>
  <c r="C8690" i="1"/>
  <c r="C8695" i="1"/>
  <c r="D8695" i="1" s="1"/>
  <c r="C8699" i="1"/>
  <c r="C8701" i="1"/>
  <c r="D8701" i="1" s="1"/>
  <c r="C8702" i="1"/>
  <c r="C8704" i="1"/>
  <c r="D8704" i="1" s="1"/>
  <c r="C8706" i="1"/>
  <c r="C8708" i="1"/>
  <c r="D8708" i="1" s="1"/>
  <c r="C8709" i="1"/>
  <c r="C8715" i="1"/>
  <c r="D8715" i="1" s="1"/>
  <c r="C8720" i="1"/>
  <c r="C8721" i="1"/>
  <c r="D8721" i="1" s="1"/>
  <c r="C8726" i="1"/>
  <c r="C8731" i="1"/>
  <c r="D8731" i="1" s="1"/>
  <c r="C8734" i="1"/>
  <c r="C8735" i="1"/>
  <c r="D8735" i="1" s="1"/>
  <c r="C8738" i="1"/>
  <c r="C8746" i="1"/>
  <c r="D8746" i="1" s="1"/>
  <c r="C8747" i="1"/>
  <c r="C8750" i="1"/>
  <c r="D8750" i="1" s="1"/>
  <c r="C8758" i="1"/>
  <c r="C8759" i="1"/>
  <c r="D8759" i="1" s="1"/>
  <c r="C8763" i="1"/>
  <c r="C8764" i="1"/>
  <c r="D8764" i="1" s="1"/>
  <c r="C8765" i="1"/>
  <c r="C8767" i="1"/>
  <c r="D8767" i="1" s="1"/>
  <c r="C8769" i="1"/>
  <c r="C8771" i="1"/>
  <c r="D8771" i="1" s="1"/>
  <c r="C8774" i="1"/>
  <c r="C8775" i="1"/>
  <c r="C8776" i="1"/>
  <c r="C8778" i="1"/>
  <c r="D8778" i="1" s="1"/>
  <c r="C8781" i="1"/>
  <c r="C8782" i="1"/>
  <c r="D8782" i="1" s="1"/>
  <c r="C8783" i="1"/>
  <c r="C8785" i="1"/>
  <c r="D8785" i="1" s="1"/>
  <c r="C8787" i="1"/>
  <c r="C8788" i="1"/>
  <c r="D8788" i="1" s="1"/>
  <c r="C8789" i="1"/>
  <c r="C8790" i="1"/>
  <c r="D8790" i="1" s="1"/>
  <c r="C8791" i="1"/>
  <c r="C8793" i="1"/>
  <c r="D8793" i="1" s="1"/>
  <c r="C8794" i="1"/>
  <c r="C8796" i="1"/>
  <c r="D8796" i="1" s="1"/>
  <c r="C8802" i="1"/>
  <c r="C8805" i="1"/>
  <c r="D8805" i="1" s="1"/>
  <c r="C8808" i="1"/>
  <c r="C8812" i="1"/>
  <c r="D8812" i="1" s="1"/>
  <c r="C8813" i="1"/>
  <c r="C8815" i="1"/>
  <c r="D8815" i="1" s="1"/>
  <c r="C8816" i="1"/>
  <c r="C8818" i="1"/>
  <c r="D8818" i="1" s="1"/>
  <c r="C8819" i="1"/>
  <c r="C8821" i="1"/>
  <c r="D8821" i="1" s="1"/>
  <c r="C8823" i="1"/>
  <c r="C8836" i="1"/>
  <c r="D8836" i="1" s="1"/>
  <c r="C8837" i="1"/>
  <c r="C8839" i="1"/>
  <c r="D8839" i="1" s="1"/>
  <c r="C8840" i="1"/>
  <c r="C8843" i="1"/>
  <c r="D8843" i="1" s="1"/>
  <c r="C8866" i="1"/>
  <c r="C8876" i="1"/>
  <c r="C8882" i="1"/>
  <c r="C8886" i="1"/>
  <c r="D8886" i="1" s="1"/>
  <c r="C8887" i="1"/>
  <c r="C8891" i="1"/>
  <c r="D8891" i="1" s="1"/>
  <c r="C8894" i="1"/>
  <c r="C8899" i="1"/>
  <c r="D8899" i="1" s="1"/>
  <c r="C8903" i="1"/>
  <c r="C8906" i="1"/>
  <c r="D8906" i="1" s="1"/>
  <c r="C8908" i="1"/>
  <c r="C8909" i="1"/>
  <c r="D8909" i="1" s="1"/>
  <c r="C8913" i="1"/>
  <c r="C8919" i="1"/>
  <c r="D8919" i="1" s="1"/>
  <c r="C8932" i="1"/>
  <c r="C8934" i="1"/>
  <c r="D8934" i="1" s="1"/>
  <c r="C8936" i="1"/>
  <c r="C8942" i="1"/>
  <c r="D8942" i="1" s="1"/>
  <c r="C8944" i="1"/>
  <c r="C8948" i="1"/>
  <c r="D8948" i="1" s="1"/>
  <c r="C8954" i="1"/>
  <c r="C8956" i="1"/>
  <c r="D8956" i="1" s="1"/>
  <c r="C8961" i="1"/>
  <c r="C8964" i="1"/>
  <c r="D8964" i="1" s="1"/>
  <c r="C8965" i="1"/>
  <c r="C8966" i="1"/>
  <c r="D8966" i="1" s="1"/>
  <c r="C8973" i="1"/>
  <c r="C8974" i="1"/>
  <c r="D8974" i="1" s="1"/>
  <c r="C8979" i="1"/>
  <c r="C8983" i="1"/>
  <c r="D8983" i="1" s="1"/>
  <c r="C8992" i="1"/>
  <c r="C8994" i="1"/>
  <c r="D8994" i="1" s="1"/>
  <c r="C8995" i="1"/>
  <c r="C9009" i="1"/>
  <c r="C9012" i="1"/>
  <c r="C9014" i="1"/>
  <c r="C9018" i="1"/>
  <c r="C9024" i="1"/>
  <c r="C9028" i="1"/>
  <c r="C9037" i="1"/>
  <c r="C9047" i="1"/>
  <c r="C9049" i="1"/>
  <c r="C9051" i="1"/>
  <c r="C9052" i="1"/>
  <c r="C9054" i="1"/>
  <c r="C9064" i="1"/>
  <c r="C9071" i="1"/>
  <c r="C9075" i="1"/>
  <c r="C9080" i="1"/>
  <c r="C9083" i="1"/>
  <c r="C9093" i="1"/>
  <c r="C9094" i="1"/>
  <c r="C9095" i="1"/>
  <c r="C9098" i="1"/>
  <c r="C9112" i="1"/>
  <c r="C9117" i="1"/>
  <c r="C9119" i="1"/>
  <c r="C9124" i="1"/>
  <c r="C9130" i="1"/>
  <c r="C9139" i="1"/>
  <c r="C9147" i="1"/>
  <c r="C9148" i="1"/>
  <c r="C9149" i="1"/>
  <c r="C9153" i="1"/>
  <c r="C9157" i="1"/>
  <c r="C9163" i="1"/>
  <c r="C9167" i="1"/>
  <c r="C9173" i="1"/>
  <c r="C9174" i="1"/>
  <c r="C9175" i="1"/>
  <c r="C9176" i="1"/>
  <c r="C9183" i="1"/>
  <c r="C9197" i="1"/>
  <c r="C9198" i="1"/>
  <c r="C9202" i="1"/>
  <c r="C9203" i="1"/>
  <c r="C9204" i="1"/>
  <c r="C9209" i="1"/>
  <c r="C9212" i="1"/>
  <c r="C9221" i="1"/>
  <c r="C9225" i="1"/>
  <c r="C9228" i="1"/>
  <c r="C9230" i="1"/>
  <c r="C9235" i="1"/>
  <c r="C9242" i="1"/>
  <c r="C9244" i="1"/>
  <c r="C9247" i="1"/>
  <c r="C9248" i="1"/>
  <c r="C9257" i="1"/>
  <c r="C9261" i="1"/>
  <c r="C9263" i="1"/>
  <c r="C9264" i="1"/>
  <c r="C9271" i="1"/>
  <c r="C9273" i="1"/>
  <c r="C9277" i="1"/>
  <c r="C9281" i="1"/>
  <c r="C9286" i="1"/>
  <c r="C9287" i="1"/>
  <c r="C9306" i="1"/>
  <c r="C9307" i="1"/>
  <c r="C9311" i="1"/>
  <c r="C9314" i="1"/>
  <c r="C9318" i="1"/>
  <c r="C9320" i="1"/>
  <c r="C9321" i="1"/>
  <c r="C9323" i="1"/>
  <c r="C9324" i="1"/>
  <c r="C9328" i="1"/>
  <c r="C9338" i="1"/>
  <c r="C9346" i="1"/>
  <c r="C9350" i="1"/>
  <c r="C9359" i="1"/>
  <c r="C9366" i="1"/>
  <c r="C9368" i="1"/>
  <c r="C9370" i="1"/>
  <c r="C9371" i="1"/>
  <c r="C9373" i="1"/>
  <c r="C9374" i="1"/>
  <c r="C9375" i="1"/>
  <c r="C9380" i="1"/>
  <c r="C9388" i="1"/>
  <c r="C9389" i="1"/>
  <c r="C9396" i="1"/>
  <c r="C9397" i="1"/>
  <c r="C9402" i="1"/>
  <c r="C9403" i="1"/>
  <c r="C9404" i="1"/>
  <c r="C9409" i="1"/>
  <c r="C9411" i="1"/>
  <c r="C9412" i="1"/>
  <c r="C9414" i="1"/>
  <c r="C9415" i="1"/>
  <c r="C9418" i="1"/>
  <c r="C9425" i="1"/>
  <c r="C9427" i="1"/>
  <c r="C9429" i="1"/>
  <c r="C9439" i="1"/>
  <c r="C9444" i="1"/>
  <c r="C9445" i="1"/>
  <c r="C9451" i="1"/>
  <c r="C9453" i="1"/>
  <c r="C9454" i="1"/>
  <c r="C9458" i="1"/>
  <c r="C9459" i="1"/>
  <c r="C9460" i="1"/>
  <c r="C9465" i="1"/>
  <c r="C9470" i="1"/>
  <c r="C9471" i="1"/>
  <c r="C9485" i="1"/>
  <c r="C9493" i="1"/>
  <c r="C9500" i="1"/>
  <c r="C9501" i="1"/>
  <c r="C9503" i="1"/>
  <c r="C9504" i="1"/>
  <c r="C9505" i="1"/>
  <c r="C9510" i="1"/>
  <c r="C9520" i="1"/>
  <c r="C9522" i="1"/>
  <c r="C9525" i="1"/>
  <c r="C9527" i="1"/>
  <c r="C9529" i="1"/>
  <c r="C9532" i="1"/>
  <c r="C9535" i="1"/>
  <c r="C9540" i="1"/>
  <c r="C9541" i="1"/>
  <c r="C9549" i="1"/>
  <c r="C9551" i="1"/>
  <c r="C9558" i="1"/>
  <c r="C9569" i="1"/>
  <c r="C9570" i="1"/>
  <c r="C9576" i="1"/>
  <c r="C9585" i="1"/>
  <c r="C9587" i="1"/>
  <c r="C9590" i="1"/>
  <c r="C9596" i="1"/>
  <c r="C9597" i="1"/>
  <c r="C9608" i="1"/>
  <c r="C9610" i="1"/>
  <c r="C9612" i="1"/>
  <c r="C9616" i="1"/>
  <c r="C9620" i="1"/>
  <c r="C9622" i="1"/>
  <c r="C9628" i="1"/>
  <c r="C9631" i="1"/>
  <c r="C9632" i="1"/>
  <c r="C9637" i="1"/>
  <c r="C9640" i="1"/>
  <c r="C9646" i="1"/>
  <c r="C9649" i="1"/>
  <c r="C9650" i="1"/>
  <c r="C9660" i="1"/>
  <c r="C9671" i="1"/>
  <c r="C9672" i="1"/>
  <c r="C9674" i="1"/>
  <c r="C9676" i="1"/>
  <c r="C9678" i="1"/>
  <c r="C9680" i="1"/>
  <c r="C9685" i="1"/>
  <c r="C9689" i="1"/>
  <c r="C9690" i="1"/>
  <c r="C9696" i="1"/>
  <c r="C9697" i="1"/>
  <c r="C9704" i="1"/>
  <c r="C9706" i="1"/>
  <c r="C9707" i="1"/>
  <c r="C9711" i="1"/>
  <c r="C9713" i="1"/>
  <c r="C9718" i="1"/>
  <c r="C9721" i="1"/>
  <c r="C9723" i="1"/>
  <c r="C9734" i="1"/>
  <c r="C9736" i="1"/>
  <c r="C9742" i="1"/>
  <c r="C9743" i="1"/>
  <c r="C9747" i="1"/>
  <c r="C9748" i="1"/>
  <c r="C9751" i="1"/>
  <c r="C9753" i="1"/>
  <c r="C9755" i="1"/>
  <c r="C9760" i="1"/>
  <c r="C9762" i="1"/>
  <c r="C9765" i="1"/>
  <c r="C9766" i="1"/>
  <c r="C9768" i="1"/>
  <c r="C9772" i="1"/>
  <c r="C9774" i="1"/>
  <c r="C9775" i="1"/>
  <c r="C9777" i="1"/>
  <c r="C9779" i="1"/>
  <c r="C9785" i="1"/>
  <c r="C9790" i="1"/>
  <c r="C9792" i="1"/>
  <c r="C9795" i="1"/>
  <c r="C9798" i="1"/>
  <c r="C9801" i="1"/>
  <c r="C9808" i="1"/>
  <c r="C9817" i="1"/>
  <c r="C9818" i="1"/>
  <c r="C9820" i="1"/>
  <c r="C9825" i="1"/>
  <c r="C9827" i="1"/>
  <c r="C9828" i="1"/>
  <c r="C9835" i="1"/>
  <c r="C9836" i="1"/>
  <c r="C9840" i="1"/>
  <c r="C9842" i="1"/>
  <c r="C9847" i="1"/>
  <c r="C9853" i="1"/>
  <c r="C9858" i="1"/>
  <c r="C9877" i="1"/>
  <c r="C9902" i="1"/>
  <c r="C9913" i="1"/>
  <c r="C9920" i="1"/>
  <c r="C9930" i="1"/>
  <c r="C9932" i="1"/>
  <c r="C9938" i="1"/>
  <c r="C9941" i="1"/>
  <c r="C9946" i="1"/>
  <c r="C9951" i="1"/>
  <c r="C9970" i="1"/>
  <c r="C9974" i="1"/>
  <c r="C9979" i="1"/>
  <c r="C9989" i="1"/>
  <c r="C9994" i="1"/>
  <c r="C9997" i="1"/>
  <c r="C10002" i="1"/>
  <c r="C10006" i="1"/>
  <c r="C10008" i="1"/>
  <c r="C10010" i="1"/>
  <c r="C10017" i="1"/>
  <c r="C10027" i="1"/>
  <c r="C10049" i="1"/>
  <c r="C10050" i="1"/>
  <c r="C10058" i="1"/>
  <c r="C10060" i="1"/>
  <c r="C10068" i="1"/>
  <c r="C10084" i="1"/>
  <c r="C10086" i="1"/>
  <c r="C10088" i="1"/>
  <c r="C10104" i="1"/>
  <c r="C10109" i="1"/>
  <c r="C10154" i="1"/>
  <c r="C10165" i="1"/>
  <c r="C10169" i="1"/>
  <c r="C10182" i="1"/>
  <c r="C10191" i="1"/>
  <c r="C10203" i="1"/>
  <c r="C10204" i="1"/>
  <c r="C10222" i="1"/>
  <c r="C10228" i="1"/>
  <c r="C10238" i="1"/>
  <c r="C10241" i="1"/>
  <c r="C10244" i="1"/>
  <c r="C10246" i="1"/>
  <c r="C10247" i="1"/>
  <c r="C10254" i="1"/>
  <c r="C10255" i="1"/>
  <c r="C10257" i="1"/>
  <c r="C10260" i="1"/>
  <c r="C10262" i="1"/>
  <c r="C10264" i="1"/>
  <c r="C10268" i="1"/>
  <c r="C10270" i="1"/>
  <c r="C10272" i="1"/>
  <c r="C10273" i="1"/>
  <c r="C10280" i="1"/>
  <c r="C10281" i="1"/>
  <c r="C10283" i="1"/>
  <c r="C10284" i="1"/>
  <c r="C10285" i="1"/>
  <c r="C10287" i="1"/>
  <c r="C10293" i="1"/>
  <c r="C10296" i="1"/>
  <c r="C10302" i="1"/>
  <c r="C10303" i="1"/>
  <c r="C10310" i="1"/>
  <c r="C10312" i="1"/>
  <c r="C10316" i="1"/>
  <c r="C10320" i="1"/>
  <c r="C10328" i="1"/>
  <c r="C10332" i="1"/>
  <c r="C10335" i="1"/>
  <c r="C10338" i="1"/>
  <c r="C10345" i="1"/>
  <c r="C10350" i="1"/>
  <c r="C10356" i="1"/>
  <c r="C10358" i="1"/>
  <c r="C10367" i="1"/>
  <c r="C10370" i="1"/>
  <c r="C10375" i="1"/>
  <c r="C10376" i="1"/>
  <c r="C10379" i="1"/>
  <c r="C10382" i="1"/>
  <c r="C10384" i="1"/>
  <c r="C10388" i="1"/>
  <c r="C10396" i="1"/>
  <c r="C10401" i="1"/>
  <c r="C10403" i="1"/>
  <c r="C10404" i="1"/>
  <c r="C10405" i="1"/>
  <c r="C10406" i="1"/>
  <c r="C10415" i="1"/>
  <c r="C10420" i="1"/>
  <c r="C10422" i="1"/>
  <c r="D10422" i="1" s="1"/>
  <c r="C10425" i="1"/>
  <c r="C10436" i="1"/>
  <c r="D10436" i="1" s="1"/>
  <c r="C10440" i="1"/>
  <c r="C10444" i="1"/>
  <c r="D10444" i="1" s="1"/>
  <c r="C10462" i="1"/>
  <c r="C10468" i="1"/>
  <c r="D10468" i="1" s="1"/>
  <c r="C10471" i="1"/>
  <c r="C10475" i="1"/>
  <c r="D10475" i="1" s="1"/>
  <c r="C10477" i="1"/>
  <c r="C10479" i="1"/>
  <c r="D10479" i="1" s="1"/>
  <c r="C10481" i="1"/>
  <c r="C10489" i="1"/>
  <c r="D10489" i="1" s="1"/>
  <c r="C10490" i="1"/>
  <c r="C10495" i="1"/>
  <c r="D10495" i="1" s="1"/>
  <c r="C10497" i="1"/>
  <c r="C10510" i="1"/>
  <c r="D10510" i="1" s="1"/>
  <c r="C10520" i="1"/>
  <c r="C10521" i="1"/>
  <c r="D10521" i="1" s="1"/>
  <c r="C10531" i="1"/>
  <c r="C10537" i="1"/>
  <c r="D10537" i="1" s="1"/>
  <c r="C10539" i="1"/>
  <c r="C10543" i="1"/>
  <c r="D10543" i="1" s="1"/>
  <c r="C10548" i="1"/>
  <c r="C10553" i="1"/>
  <c r="D10553" i="1" s="1"/>
  <c r="C10561" i="1"/>
  <c r="C10563" i="1"/>
  <c r="D10563" i="1" s="1"/>
  <c r="C10565" i="1"/>
  <c r="C10569" i="1"/>
  <c r="D10569" i="1" s="1"/>
  <c r="C10574" i="1"/>
  <c r="C10575" i="1"/>
  <c r="D10575" i="1" s="1"/>
  <c r="C10581" i="1"/>
  <c r="C10583" i="1"/>
  <c r="D10583" i="1" s="1"/>
  <c r="C10588" i="1"/>
  <c r="C10597" i="1"/>
  <c r="D10597" i="1" s="1"/>
  <c r="C10598" i="1"/>
  <c r="C10603" i="1"/>
  <c r="D10603" i="1" s="1"/>
  <c r="C10605" i="1"/>
  <c r="C10607" i="1"/>
  <c r="D10607" i="1" s="1"/>
  <c r="C10616" i="1"/>
  <c r="C10626" i="1"/>
  <c r="D10626" i="1" s="1"/>
  <c r="C10627" i="1"/>
  <c r="C10630" i="1"/>
  <c r="D10630" i="1" s="1"/>
  <c r="C10632" i="1"/>
  <c r="C10643" i="1"/>
  <c r="D10643" i="1" s="1"/>
  <c r="C10645" i="1"/>
  <c r="C10646" i="1"/>
  <c r="D10646" i="1" s="1"/>
  <c r="C10652" i="1"/>
  <c r="C10655" i="1"/>
  <c r="D10655" i="1" s="1"/>
  <c r="C10657" i="1"/>
  <c r="C10663" i="1"/>
  <c r="D10663" i="1" s="1"/>
  <c r="C10664" i="1"/>
  <c r="C10671" i="1"/>
  <c r="D10671" i="1" s="1"/>
  <c r="C10678" i="1"/>
  <c r="C10682" i="1"/>
  <c r="D10682" i="1" s="1"/>
  <c r="C10687" i="1"/>
  <c r="C10689" i="1"/>
  <c r="D10689" i="1" s="1"/>
  <c r="C10691" i="1"/>
  <c r="C10692" i="1"/>
  <c r="D10692" i="1" s="1"/>
  <c r="C10695" i="1"/>
  <c r="C10697" i="1"/>
  <c r="D10697" i="1" s="1"/>
  <c r="C10698" i="1"/>
  <c r="C10702" i="1"/>
  <c r="D10702" i="1" s="1"/>
  <c r="C10705" i="1"/>
  <c r="C10710" i="1"/>
  <c r="D10710" i="1" s="1"/>
  <c r="C10725" i="1"/>
  <c r="C10733" i="1"/>
  <c r="D10733" i="1" s="1"/>
  <c r="C10734" i="1"/>
  <c r="C10736" i="1"/>
  <c r="D10736" i="1" s="1"/>
  <c r="C10739" i="1"/>
  <c r="C10742" i="1"/>
  <c r="D10742" i="1" s="1"/>
  <c r="C10744" i="1"/>
  <c r="C10756" i="1"/>
  <c r="D10756" i="1" s="1"/>
  <c r="C10770" i="1"/>
  <c r="C10787" i="1"/>
  <c r="D10787" i="1" s="1"/>
  <c r="C10797" i="1"/>
  <c r="C10810" i="1"/>
  <c r="D10810" i="1" s="1"/>
  <c r="C10832" i="1"/>
  <c r="C10855" i="1"/>
  <c r="D10855" i="1" s="1"/>
  <c r="C10857" i="1"/>
  <c r="C10865" i="1"/>
  <c r="D10865" i="1" s="1"/>
  <c r="C10886" i="1"/>
  <c r="C10893" i="1"/>
  <c r="D10893" i="1" s="1"/>
  <c r="C10900" i="1"/>
  <c r="C10917" i="1"/>
  <c r="D10917" i="1" s="1"/>
  <c r="C10941" i="1"/>
  <c r="C10944" i="1"/>
  <c r="D10944" i="1" s="1"/>
  <c r="C10974" i="1"/>
  <c r="C10987" i="1"/>
  <c r="D10987" i="1" s="1"/>
  <c r="C11000" i="1"/>
  <c r="C11003" i="1"/>
  <c r="D11003" i="1" s="1"/>
  <c r="C11007" i="1"/>
  <c r="C11009" i="1"/>
  <c r="D11009" i="1" s="1"/>
  <c r="C11010" i="1"/>
  <c r="C11026" i="1"/>
  <c r="D11026" i="1" s="1"/>
  <c r="C11040" i="1"/>
  <c r="C11041" i="1"/>
  <c r="D11041" i="1" s="1"/>
  <c r="C11046" i="1"/>
  <c r="C11050" i="1"/>
  <c r="D11050" i="1" s="1"/>
  <c r="C11056" i="1"/>
  <c r="C11057" i="1"/>
  <c r="D11057" i="1" s="1"/>
  <c r="C11063" i="1"/>
  <c r="C11067" i="1"/>
  <c r="D11067" i="1" s="1"/>
  <c r="C11068" i="1"/>
  <c r="C11069" i="1"/>
  <c r="D11069" i="1" s="1"/>
  <c r="C11072" i="1"/>
  <c r="C11091" i="1"/>
  <c r="D11091" i="1" s="1"/>
  <c r="C11094" i="1"/>
  <c r="C11098" i="1"/>
  <c r="D11098" i="1" s="1"/>
  <c r="C11099" i="1"/>
  <c r="C11103" i="1"/>
  <c r="D11103" i="1" s="1"/>
  <c r="C11113" i="1"/>
  <c r="C11116" i="1"/>
  <c r="D11116" i="1" s="1"/>
  <c r="C11117" i="1"/>
  <c r="C11118" i="1"/>
  <c r="D11118" i="1" s="1"/>
  <c r="C11123" i="1"/>
  <c r="C11134" i="1"/>
  <c r="D11134" i="1" s="1"/>
  <c r="C11135" i="1"/>
  <c r="C11136" i="1"/>
  <c r="D11136" i="1" s="1"/>
  <c r="C11137" i="1"/>
  <c r="C11138" i="1"/>
  <c r="D11138" i="1" s="1"/>
  <c r="C11139" i="1"/>
  <c r="C11140" i="1"/>
  <c r="D11140" i="1" s="1"/>
  <c r="C11141" i="1"/>
  <c r="C11143" i="1"/>
  <c r="D11143" i="1" s="1"/>
  <c r="C11148" i="1"/>
  <c r="C11156" i="1"/>
  <c r="D11156" i="1" s="1"/>
  <c r="C11157" i="1"/>
  <c r="C11160" i="1"/>
  <c r="D11160" i="1" s="1"/>
  <c r="C11163" i="1"/>
  <c r="C11171" i="1"/>
  <c r="D11171" i="1" s="1"/>
  <c r="C11174" i="1"/>
  <c r="C11177" i="1"/>
  <c r="D11177" i="1" s="1"/>
  <c r="C11178" i="1"/>
  <c r="C11190" i="1"/>
  <c r="D11190" i="1" s="1"/>
  <c r="C11195" i="1"/>
  <c r="C11196" i="1"/>
  <c r="D11196" i="1" s="1"/>
  <c r="C11197" i="1"/>
  <c r="C11200" i="1"/>
  <c r="D11200" i="1" s="1"/>
  <c r="C11204" i="1"/>
  <c r="C11205" i="1"/>
  <c r="D11205" i="1" s="1"/>
  <c r="C11214" i="1"/>
  <c r="C11216" i="1"/>
  <c r="D11216" i="1" s="1"/>
  <c r="C11220" i="1"/>
  <c r="C11222" i="1"/>
  <c r="D11222" i="1" s="1"/>
  <c r="C11224" i="1"/>
  <c r="C11239" i="1"/>
  <c r="D11239" i="1" s="1"/>
  <c r="C11242" i="1"/>
  <c r="C11243" i="1"/>
  <c r="D11243" i="1" s="1"/>
  <c r="C11255" i="1"/>
  <c r="C11258" i="1"/>
  <c r="D11258" i="1" s="1"/>
  <c r="C11259" i="1"/>
  <c r="C11261" i="1"/>
  <c r="D11261" i="1" s="1"/>
  <c r="C11262" i="1"/>
  <c r="C11266" i="1"/>
  <c r="D11266" i="1" s="1"/>
  <c r="C11274" i="1"/>
  <c r="C11277" i="1"/>
  <c r="D11277" i="1" s="1"/>
  <c r="C11279" i="1"/>
  <c r="C11280" i="1"/>
  <c r="D11280" i="1" s="1"/>
  <c r="C11287" i="1"/>
  <c r="C11290" i="1"/>
  <c r="D11290" i="1" s="1"/>
  <c r="C11291" i="1"/>
  <c r="C11308" i="1"/>
  <c r="D11308" i="1" s="1"/>
  <c r="C11310" i="1"/>
  <c r="C11311" i="1"/>
  <c r="D11311" i="1" s="1"/>
  <c r="C11318" i="1"/>
  <c r="C11320" i="1"/>
  <c r="D11320" i="1" s="1"/>
  <c r="C11327" i="1"/>
  <c r="C11328" i="1"/>
  <c r="D11328" i="1" s="1"/>
  <c r="C11330" i="1"/>
  <c r="C11332" i="1"/>
  <c r="D11332" i="1" s="1"/>
  <c r="C11340" i="1"/>
  <c r="C11350" i="1"/>
  <c r="D11350" i="1" s="1"/>
  <c r="C11353" i="1"/>
  <c r="C11359" i="1"/>
  <c r="D11359" i="1" s="1"/>
  <c r="C11361" i="1"/>
  <c r="C11370" i="1"/>
  <c r="D11370" i="1" s="1"/>
  <c r="C11373" i="1"/>
  <c r="C11378" i="1"/>
  <c r="D11378" i="1" s="1"/>
  <c r="C11379" i="1"/>
  <c r="C11382" i="1"/>
  <c r="D11382" i="1" s="1"/>
  <c r="C11385" i="1"/>
  <c r="C11387" i="1"/>
  <c r="D11387" i="1" s="1"/>
  <c r="C11389" i="1"/>
  <c r="C11390" i="1"/>
  <c r="D11390" i="1" s="1"/>
  <c r="C11395" i="1"/>
  <c r="C11397" i="1"/>
  <c r="D11397" i="1" s="1"/>
  <c r="C11398" i="1"/>
  <c r="C11406" i="1"/>
  <c r="D11406" i="1" s="1"/>
  <c r="C11407" i="1"/>
  <c r="C11419" i="1"/>
  <c r="D11419" i="1" s="1"/>
  <c r="C11422" i="1"/>
  <c r="C11425" i="1"/>
  <c r="D11425" i="1" s="1"/>
  <c r="C11438" i="1"/>
  <c r="C11449" i="1"/>
  <c r="D11449" i="1" s="1"/>
  <c r="C11451" i="1"/>
  <c r="C11453" i="1"/>
  <c r="D11453" i="1" s="1"/>
  <c r="C11456" i="1"/>
  <c r="C11459" i="1"/>
  <c r="D11459" i="1" s="1"/>
  <c r="C11465" i="1"/>
  <c r="C11471" i="1"/>
  <c r="D11471" i="1" s="1"/>
  <c r="C11472" i="1"/>
  <c r="C11483" i="1"/>
  <c r="D11483" i="1" s="1"/>
  <c r="C11492" i="1"/>
  <c r="C11504" i="1"/>
  <c r="D11504" i="1" s="1"/>
  <c r="C11505" i="1"/>
  <c r="C11510" i="1"/>
  <c r="D11510" i="1" s="1"/>
  <c r="C11511" i="1"/>
  <c r="C11515" i="1"/>
  <c r="D11515" i="1" s="1"/>
  <c r="C11522" i="1"/>
  <c r="C11524" i="1"/>
  <c r="D11524" i="1" s="1"/>
  <c r="C11533" i="1"/>
  <c r="C11536" i="1"/>
  <c r="D11536" i="1" s="1"/>
  <c r="C11542" i="1"/>
  <c r="C11543" i="1"/>
  <c r="D11543" i="1" s="1"/>
  <c r="C11551" i="1"/>
  <c r="C11552" i="1"/>
  <c r="D11552" i="1" s="1"/>
  <c r="C11554" i="1"/>
  <c r="C11557" i="1"/>
  <c r="D11557" i="1" s="1"/>
  <c r="C11566" i="1"/>
  <c r="C11572" i="1"/>
  <c r="D11572" i="1" s="1"/>
  <c r="C11576" i="1"/>
  <c r="C11584" i="1"/>
  <c r="D11584" i="1" s="1"/>
  <c r="C11591" i="1"/>
  <c r="C11596" i="1"/>
  <c r="D11596" i="1" s="1"/>
  <c r="C11598" i="1"/>
  <c r="C11610" i="1"/>
  <c r="D11610" i="1" s="1"/>
  <c r="C11611" i="1"/>
  <c r="C11613" i="1"/>
  <c r="D11613" i="1" s="1"/>
  <c r="C11626" i="1"/>
  <c r="C11629" i="1"/>
  <c r="D11629" i="1" s="1"/>
  <c r="C11635" i="1"/>
  <c r="C11640" i="1"/>
  <c r="D11640" i="1" s="1"/>
  <c r="C11641" i="1"/>
  <c r="C11642" i="1"/>
  <c r="D11642" i="1" s="1"/>
  <c r="C11645" i="1"/>
  <c r="C11649" i="1"/>
  <c r="D11649" i="1" s="1"/>
  <c r="C11650" i="1"/>
  <c r="C11657" i="1"/>
  <c r="D11657" i="1" s="1"/>
  <c r="C11658" i="1"/>
  <c r="C11659" i="1"/>
  <c r="D11659" i="1" s="1"/>
  <c r="C11660" i="1"/>
  <c r="C11662" i="1"/>
  <c r="D11662" i="1" s="1"/>
  <c r="C11674" i="1"/>
  <c r="C11683" i="1"/>
  <c r="D11683" i="1" s="1"/>
  <c r="C11695" i="1"/>
  <c r="C11709" i="1"/>
  <c r="D11709" i="1" s="1"/>
  <c r="C11713" i="1"/>
  <c r="C11714" i="1"/>
  <c r="D11714" i="1" s="1"/>
  <c r="C11721" i="1"/>
  <c r="C11728" i="1"/>
  <c r="D11728" i="1" s="1"/>
  <c r="C11729" i="1"/>
  <c r="C11731" i="1"/>
  <c r="D11731" i="1" s="1"/>
  <c r="C11734" i="1"/>
  <c r="C11737" i="1"/>
  <c r="D11737" i="1" s="1"/>
  <c r="C11740" i="1"/>
  <c r="C11745" i="1"/>
  <c r="D11745" i="1" s="1"/>
  <c r="C11755" i="1"/>
  <c r="C11759" i="1"/>
  <c r="D11759" i="1" s="1"/>
  <c r="C11784" i="1"/>
  <c r="C11792" i="1"/>
  <c r="D11792" i="1" s="1"/>
  <c r="C11795" i="1"/>
  <c r="C11808" i="1"/>
  <c r="D11808" i="1" s="1"/>
  <c r="C11814" i="1"/>
  <c r="C11833" i="1"/>
  <c r="D11833" i="1" s="1"/>
  <c r="C11840" i="1"/>
  <c r="C11858" i="1"/>
  <c r="D11858" i="1" s="1"/>
  <c r="C11863" i="1"/>
  <c r="C11868" i="1"/>
  <c r="D11868" i="1" s="1"/>
  <c r="C11870" i="1"/>
  <c r="C11876" i="1"/>
  <c r="D11876" i="1" s="1"/>
  <c r="C11880" i="1"/>
  <c r="C11882" i="1"/>
  <c r="D11882" i="1" s="1"/>
  <c r="C11887" i="1"/>
  <c r="C11888" i="1"/>
  <c r="D11888" i="1" s="1"/>
  <c r="C11893" i="1"/>
  <c r="C11900" i="1"/>
  <c r="D11900" i="1" s="1"/>
  <c r="C11902" i="1"/>
  <c r="C11905" i="1"/>
  <c r="D11905" i="1" s="1"/>
  <c r="C11913" i="1"/>
  <c r="C11915" i="1"/>
  <c r="D11915" i="1" s="1"/>
  <c r="C11919" i="1"/>
  <c r="C11930" i="1"/>
  <c r="D11930" i="1" s="1"/>
  <c r="C11931" i="1"/>
  <c r="C11932" i="1"/>
  <c r="D11932" i="1" s="1"/>
  <c r="C11934" i="1"/>
  <c r="C11940" i="1"/>
  <c r="D11940" i="1" s="1"/>
  <c r="C11963" i="1"/>
  <c r="C11964" i="1"/>
  <c r="D11964" i="1" s="1"/>
  <c r="C11965" i="1"/>
  <c r="C11975" i="1"/>
  <c r="D11975" i="1" s="1"/>
  <c r="C11976" i="1"/>
  <c r="C11980" i="1"/>
  <c r="D11980" i="1" s="1"/>
  <c r="C11981" i="1"/>
  <c r="C11991" i="1"/>
  <c r="D11991" i="1" s="1"/>
  <c r="C12002" i="1"/>
  <c r="C12003" i="1"/>
  <c r="D12003" i="1" s="1"/>
  <c r="C12012" i="1"/>
  <c r="C12023" i="1"/>
  <c r="D12023" i="1" s="1"/>
  <c r="C12024" i="1"/>
  <c r="C12027" i="1"/>
  <c r="D12027" i="1" s="1"/>
  <c r="C12028" i="1"/>
  <c r="C12034" i="1"/>
  <c r="D12034" i="1" s="1"/>
  <c r="C12035" i="1"/>
  <c r="C12037" i="1"/>
  <c r="D12037" i="1" s="1"/>
  <c r="C12039" i="1"/>
  <c r="C12045" i="1"/>
  <c r="D12045" i="1" s="1"/>
  <c r="C12046" i="1"/>
  <c r="C12048" i="1"/>
  <c r="D12048" i="1" s="1"/>
  <c r="C12064" i="1"/>
  <c r="C12073" i="1"/>
  <c r="D12073" i="1" s="1"/>
  <c r="C12080" i="1"/>
  <c r="C12097" i="1"/>
  <c r="D12097" i="1" s="1"/>
  <c r="C12098" i="1"/>
  <c r="C12103" i="1"/>
  <c r="D12103" i="1" s="1"/>
  <c r="C12104" i="1"/>
  <c r="C12108" i="1"/>
  <c r="D12108" i="1" s="1"/>
  <c r="C12131" i="1"/>
  <c r="C12132" i="1"/>
  <c r="D12132" i="1" s="1"/>
  <c r="C12134" i="1"/>
  <c r="C12142" i="1"/>
  <c r="D12142" i="1" s="1"/>
  <c r="C12147" i="1"/>
  <c r="C12161" i="1"/>
  <c r="D12161" i="1" s="1"/>
  <c r="C12165" i="1"/>
  <c r="C12172" i="1"/>
  <c r="D12172" i="1" s="1"/>
  <c r="C12173" i="1"/>
  <c r="C12174" i="1"/>
  <c r="D12174" i="1" s="1"/>
  <c r="C12181" i="1"/>
  <c r="C12191" i="1"/>
  <c r="D12191" i="1" s="1"/>
  <c r="C12194" i="1"/>
  <c r="C12206" i="1"/>
  <c r="D12206" i="1" s="1"/>
  <c r="C12211" i="1"/>
  <c r="C12213" i="1"/>
  <c r="D12213" i="1" s="1"/>
  <c r="C12217" i="1"/>
  <c r="C12220" i="1"/>
  <c r="D12220" i="1" s="1"/>
  <c r="C12223" i="1"/>
  <c r="C12225" i="1"/>
  <c r="D12225" i="1" s="1"/>
  <c r="C12227" i="1"/>
  <c r="C12228" i="1"/>
  <c r="D12228" i="1" s="1"/>
  <c r="C12229" i="1"/>
  <c r="C12231" i="1"/>
  <c r="D12231" i="1" s="1"/>
  <c r="C12234" i="1"/>
  <c r="C12240" i="1"/>
  <c r="D12240" i="1" s="1"/>
  <c r="C12243" i="1"/>
  <c r="C12249" i="1"/>
  <c r="D12249" i="1" s="1"/>
  <c r="C12258" i="1"/>
  <c r="C12264" i="1"/>
  <c r="D12264" i="1" s="1"/>
  <c r="C12269" i="1"/>
  <c r="C12270" i="1"/>
  <c r="D12270" i="1" s="1"/>
  <c r="C12271" i="1"/>
  <c r="C12278" i="1"/>
  <c r="D12278" i="1" s="1"/>
  <c r="C12284" i="1"/>
  <c r="C12296" i="1"/>
  <c r="D12296" i="1" s="1"/>
  <c r="C12312" i="1"/>
  <c r="C12364" i="1"/>
  <c r="D12364" i="1" s="1"/>
  <c r="C12365" i="1"/>
  <c r="C12392" i="1"/>
  <c r="D12392" i="1" s="1"/>
  <c r="C12397" i="1"/>
  <c r="C12400" i="1"/>
  <c r="D12400" i="1" s="1"/>
  <c r="C12407" i="1"/>
  <c r="C12415" i="1"/>
  <c r="D12415" i="1" s="1"/>
  <c r="C12419" i="1"/>
  <c r="C12447" i="1"/>
  <c r="D12447" i="1" s="1"/>
  <c r="C12450" i="1"/>
  <c r="C12451" i="1"/>
  <c r="D12451" i="1" s="1"/>
  <c r="C12453" i="1"/>
  <c r="C12457" i="1"/>
  <c r="D12457" i="1" s="1"/>
  <c r="C12458" i="1"/>
  <c r="C12459" i="1"/>
  <c r="D12459" i="1" s="1"/>
  <c r="C12464" i="1"/>
  <c r="C12477" i="1"/>
  <c r="D12477" i="1" s="1"/>
  <c r="C12479" i="1"/>
  <c r="C12480" i="1"/>
  <c r="D12480" i="1" s="1"/>
  <c r="C12483" i="1"/>
  <c r="C12486" i="1"/>
  <c r="D12486" i="1" s="1"/>
  <c r="C12495" i="1"/>
  <c r="C12497" i="1"/>
  <c r="D12497" i="1" s="1"/>
  <c r="C12503" i="1"/>
  <c r="C12504" i="1"/>
  <c r="D12504" i="1" s="1"/>
  <c r="C12506" i="1"/>
  <c r="C12517" i="1"/>
  <c r="D12517" i="1" s="1"/>
  <c r="C12526" i="1"/>
  <c r="C12540" i="1"/>
  <c r="D12540" i="1" s="1"/>
  <c r="C12558" i="1"/>
  <c r="C12561" i="1"/>
  <c r="D12561" i="1" s="1"/>
  <c r="C12562" i="1"/>
  <c r="C12565" i="1"/>
  <c r="D12565" i="1" s="1"/>
  <c r="C12570" i="1"/>
  <c r="C12572" i="1"/>
  <c r="D12572" i="1" s="1"/>
  <c r="C12573" i="1"/>
  <c r="C12578" i="1"/>
  <c r="D12578" i="1" s="1"/>
  <c r="C12582" i="1"/>
  <c r="C12586" i="1"/>
  <c r="D12586" i="1" s="1"/>
  <c r="C12587" i="1"/>
  <c r="C12595" i="1"/>
  <c r="D12595" i="1" s="1"/>
  <c r="C12596" i="1"/>
  <c r="C12600" i="1"/>
  <c r="D12600" i="1" s="1"/>
  <c r="C12604" i="1"/>
  <c r="C12609" i="1"/>
  <c r="D12609" i="1" s="1"/>
  <c r="C12631" i="1"/>
  <c r="C12636" i="1"/>
  <c r="D12636" i="1" s="1"/>
  <c r="C12640" i="1"/>
  <c r="C12641" i="1"/>
  <c r="D12641" i="1" s="1"/>
  <c r="C12643" i="1"/>
  <c r="C12648" i="1"/>
  <c r="D12648" i="1" s="1"/>
  <c r="C12654" i="1"/>
  <c r="C12658" i="1"/>
  <c r="D12658" i="1" s="1"/>
  <c r="C12659" i="1"/>
  <c r="C12663" i="1"/>
  <c r="D12663" i="1" s="1"/>
  <c r="C12664" i="1"/>
  <c r="C12665" i="1"/>
  <c r="D12665" i="1" s="1"/>
  <c r="C12673" i="1"/>
  <c r="C12675" i="1"/>
  <c r="D12675" i="1" s="1"/>
  <c r="C12677" i="1"/>
  <c r="C12679" i="1"/>
  <c r="D12679" i="1" s="1"/>
  <c r="C12688" i="1"/>
  <c r="C12691" i="1"/>
  <c r="D12691" i="1" s="1"/>
  <c r="C12693" i="1"/>
  <c r="C12695" i="1"/>
  <c r="D12695" i="1" s="1"/>
  <c r="C12697" i="1"/>
  <c r="C12700" i="1"/>
  <c r="D12700" i="1" s="1"/>
  <c r="C12707" i="1"/>
  <c r="C12720" i="1"/>
  <c r="D12720" i="1" s="1"/>
  <c r="C12726" i="1"/>
  <c r="C12727" i="1"/>
  <c r="D12727" i="1" s="1"/>
  <c r="C12731" i="1"/>
  <c r="C12738" i="1"/>
  <c r="D12738" i="1" s="1"/>
  <c r="C12758" i="1"/>
  <c r="C12761" i="1"/>
  <c r="D12761" i="1" s="1"/>
  <c r="C12796" i="1"/>
  <c r="C12800" i="1"/>
  <c r="D12800" i="1" s="1"/>
  <c r="C12807" i="1"/>
  <c r="C12813" i="1"/>
  <c r="D12813" i="1" s="1"/>
  <c r="C12815" i="1"/>
  <c r="C12819" i="1"/>
  <c r="D12819" i="1" s="1"/>
  <c r="C12821" i="1"/>
  <c r="C12856" i="1"/>
  <c r="D12856" i="1" s="1"/>
  <c r="C12861" i="1"/>
  <c r="C12873" i="1"/>
  <c r="D12873" i="1" s="1"/>
  <c r="C12877" i="1"/>
  <c r="C12879" i="1"/>
  <c r="D12879" i="1" s="1"/>
  <c r="C12880" i="1"/>
  <c r="C12883" i="1"/>
  <c r="D12883" i="1" s="1"/>
  <c r="C12884" i="1"/>
  <c r="C12887" i="1"/>
  <c r="D12887" i="1" s="1"/>
  <c r="C12891" i="1"/>
  <c r="C12904" i="1"/>
  <c r="D12904" i="1" s="1"/>
  <c r="C12906" i="1"/>
  <c r="C12934" i="1"/>
  <c r="D12934" i="1" s="1"/>
  <c r="C12943" i="1"/>
  <c r="C12947" i="1"/>
  <c r="D12947" i="1" s="1"/>
  <c r="C12950" i="1"/>
  <c r="C12952" i="1"/>
  <c r="D12952" i="1" s="1"/>
  <c r="C12954" i="1"/>
  <c r="C12959" i="1"/>
  <c r="D12959" i="1" s="1"/>
  <c r="C12961" i="1"/>
  <c r="C12964" i="1"/>
  <c r="D12964" i="1" s="1"/>
  <c r="C12973" i="1"/>
  <c r="C12978" i="1"/>
  <c r="D12978" i="1" s="1"/>
  <c r="C12985" i="1"/>
  <c r="C12987" i="1"/>
  <c r="D12987" i="1" s="1"/>
  <c r="C12988" i="1"/>
  <c r="C12991" i="1"/>
  <c r="D12991" i="1" s="1"/>
  <c r="C12992" i="1"/>
  <c r="C13002" i="1"/>
  <c r="D13002" i="1" s="1"/>
  <c r="C13018" i="1"/>
  <c r="C13020" i="1"/>
  <c r="D13020" i="1" s="1"/>
  <c r="C13023" i="1"/>
  <c r="C13026" i="1"/>
  <c r="D13026" i="1" s="1"/>
  <c r="C13029" i="1"/>
  <c r="C13033" i="1"/>
  <c r="D13033" i="1" s="1"/>
  <c r="C13034" i="1"/>
  <c r="C13038" i="1"/>
  <c r="D13038" i="1" s="1"/>
  <c r="C13044" i="1"/>
  <c r="C13047" i="1"/>
  <c r="D13047" i="1" s="1"/>
  <c r="C13049" i="1"/>
  <c r="C13065" i="1"/>
  <c r="D13065" i="1" s="1"/>
  <c r="C13068" i="1"/>
  <c r="C13070" i="1"/>
  <c r="D13070" i="1" s="1"/>
  <c r="C13073" i="1"/>
  <c r="C13075" i="1"/>
  <c r="D13075" i="1" s="1"/>
  <c r="C13076" i="1"/>
  <c r="C13077" i="1"/>
  <c r="D13077" i="1" s="1"/>
  <c r="C13082" i="1"/>
  <c r="C13083" i="1"/>
  <c r="D13083" i="1" s="1"/>
  <c r="C13087" i="1"/>
  <c r="C13088" i="1"/>
  <c r="D13088" i="1" s="1"/>
  <c r="C13090" i="1"/>
  <c r="C13092" i="1"/>
  <c r="D13092" i="1" s="1"/>
  <c r="C13093" i="1"/>
  <c r="C13096" i="1"/>
  <c r="D13096" i="1" s="1"/>
  <c r="C13097" i="1"/>
  <c r="C13105" i="1"/>
  <c r="D13105" i="1" s="1"/>
  <c r="C13106" i="1"/>
  <c r="C13108" i="1"/>
  <c r="D13108" i="1" s="1"/>
  <c r="C13111" i="1"/>
  <c r="C13113" i="1"/>
  <c r="D13113" i="1" s="1"/>
  <c r="C13114" i="1"/>
  <c r="C13115" i="1"/>
  <c r="D13115" i="1" s="1"/>
  <c r="C13117" i="1"/>
  <c r="C13121" i="1"/>
  <c r="D13121" i="1" s="1"/>
  <c r="C13127" i="1"/>
  <c r="C13131" i="1"/>
  <c r="D13131" i="1" s="1"/>
  <c r="C13132" i="1"/>
  <c r="C13138" i="1"/>
  <c r="D13138" i="1" s="1"/>
  <c r="C13140" i="1"/>
  <c r="C13143" i="1"/>
  <c r="D13143" i="1" s="1"/>
  <c r="C13152" i="1"/>
  <c r="C13154" i="1"/>
  <c r="D13154" i="1" s="1"/>
  <c r="C13157" i="1"/>
  <c r="C13161" i="1"/>
  <c r="D13161" i="1" s="1"/>
  <c r="C13163" i="1"/>
  <c r="C13167" i="1"/>
  <c r="D13167" i="1" s="1"/>
  <c r="C13168" i="1"/>
  <c r="C13176" i="1"/>
  <c r="D13176" i="1" s="1"/>
  <c r="C13180" i="1"/>
  <c r="C13181" i="1"/>
  <c r="D13181" i="1" s="1"/>
  <c r="C13182" i="1"/>
  <c r="C13183" i="1"/>
  <c r="D13183" i="1" s="1"/>
  <c r="C13191" i="1"/>
  <c r="C13193" i="1"/>
  <c r="D13193" i="1" s="1"/>
  <c r="C13194" i="1"/>
  <c r="C13196" i="1"/>
  <c r="D13196" i="1" s="1"/>
  <c r="C13206" i="1"/>
  <c r="C13211" i="1"/>
  <c r="D13211" i="1" s="1"/>
  <c r="C13214" i="1"/>
  <c r="C13220" i="1"/>
  <c r="D13220" i="1" s="1"/>
  <c r="C13225" i="1"/>
  <c r="C13226" i="1"/>
  <c r="D13226" i="1" s="1"/>
  <c r="C13227" i="1"/>
  <c r="C13229" i="1"/>
  <c r="D13229" i="1" s="1"/>
  <c r="C13230" i="1"/>
  <c r="C13232" i="1"/>
  <c r="D13232" i="1" s="1"/>
  <c r="C13235" i="1"/>
  <c r="C13241" i="1"/>
  <c r="D13241" i="1" s="1"/>
  <c r="C13242" i="1"/>
  <c r="C13246" i="1"/>
  <c r="D13246" i="1" s="1"/>
  <c r="C13255" i="1"/>
  <c r="C13256" i="1"/>
  <c r="D13256" i="1" s="1"/>
  <c r="C13260" i="1"/>
  <c r="C13264" i="1"/>
  <c r="D13264" i="1" s="1"/>
  <c r="C13266" i="1"/>
  <c r="C13267" i="1"/>
  <c r="D13267" i="1" s="1"/>
  <c r="C13275" i="1"/>
  <c r="C13281" i="1"/>
  <c r="D13281" i="1" s="1"/>
  <c r="C13286" i="1"/>
  <c r="C13290" i="1"/>
  <c r="D13290" i="1" s="1"/>
  <c r="C13291" i="1"/>
  <c r="C13294" i="1"/>
  <c r="D13294" i="1" s="1"/>
  <c r="C13295" i="1"/>
  <c r="C13297" i="1"/>
  <c r="D13297" i="1" s="1"/>
  <c r="C13298" i="1"/>
  <c r="C13304" i="1"/>
  <c r="D13304" i="1" s="1"/>
  <c r="C13315" i="1"/>
  <c r="C13324" i="1"/>
  <c r="D13324" i="1" s="1"/>
  <c r="C13335" i="1"/>
  <c r="C13342" i="1"/>
  <c r="D13342" i="1" s="1"/>
  <c r="C13345" i="1"/>
  <c r="C13353" i="1"/>
  <c r="D13353" i="1" s="1"/>
  <c r="C13380" i="1"/>
  <c r="C13381" i="1"/>
  <c r="D13381" i="1" s="1"/>
  <c r="C13398" i="1"/>
  <c r="C13416" i="1"/>
  <c r="D13416" i="1" s="1"/>
  <c r="C13422" i="1"/>
  <c r="C13425" i="1"/>
  <c r="D13425" i="1" s="1"/>
  <c r="C13427" i="1"/>
  <c r="C13431" i="1"/>
  <c r="D13431" i="1" s="1"/>
  <c r="C13441" i="1"/>
  <c r="C13470" i="1"/>
  <c r="D13470" i="1" s="1"/>
  <c r="C13479" i="1"/>
  <c r="C13498" i="1"/>
  <c r="D13498" i="1" s="1"/>
  <c r="C13506" i="1"/>
  <c r="C13511" i="1"/>
  <c r="D13511" i="1" s="1"/>
  <c r="C13536" i="1"/>
  <c r="C13548" i="1"/>
  <c r="D13548" i="1" s="1"/>
  <c r="C13550" i="1"/>
  <c r="C13557" i="1"/>
  <c r="D13557" i="1" s="1"/>
  <c r="C13559" i="1"/>
  <c r="C13566" i="1"/>
  <c r="D13566" i="1" s="1"/>
  <c r="C13567" i="1"/>
  <c r="C13578" i="1"/>
  <c r="D13578" i="1" s="1"/>
  <c r="C13590" i="1"/>
  <c r="C13598" i="1"/>
  <c r="D13598" i="1" s="1"/>
  <c r="C13603" i="1"/>
  <c r="C13609" i="1"/>
  <c r="D13609" i="1" s="1"/>
  <c r="C13610" i="1"/>
  <c r="C13613" i="1"/>
  <c r="D13613" i="1" s="1"/>
  <c r="C13623" i="1"/>
  <c r="C13624" i="1"/>
  <c r="D13624" i="1" s="1"/>
  <c r="C13626" i="1"/>
  <c r="C13642" i="1"/>
  <c r="D13642" i="1" s="1"/>
  <c r="C13649" i="1"/>
  <c r="C13654" i="1"/>
  <c r="D13654" i="1" s="1"/>
  <c r="C13655" i="1"/>
  <c r="C13658" i="1"/>
  <c r="D13658" i="1" s="1"/>
  <c r="C13660" i="1"/>
  <c r="C13662" i="1"/>
  <c r="D13662" i="1" s="1"/>
  <c r="C13665" i="1"/>
  <c r="C13666" i="1"/>
  <c r="D13666" i="1" s="1"/>
  <c r="C13668" i="1"/>
  <c r="C13675" i="1"/>
  <c r="D13675" i="1" s="1"/>
  <c r="C13680" i="1"/>
  <c r="C13685" i="1"/>
  <c r="D13685" i="1" s="1"/>
  <c r="C13687" i="1"/>
  <c r="C13691" i="1"/>
  <c r="D13691" i="1" s="1"/>
  <c r="C13695" i="1"/>
  <c r="C13706" i="1"/>
  <c r="D13706" i="1" s="1"/>
  <c r="C13714" i="1"/>
  <c r="C13716" i="1"/>
  <c r="D13716" i="1" s="1"/>
  <c r="C13719" i="1"/>
  <c r="C13727" i="1"/>
  <c r="D13727" i="1" s="1"/>
  <c r="C13733" i="1"/>
  <c r="C13740" i="1"/>
  <c r="D13740" i="1" s="1"/>
  <c r="C13741" i="1"/>
  <c r="C13750" i="1"/>
  <c r="D13750" i="1" s="1"/>
  <c r="C13758" i="1"/>
  <c r="C13762" i="1"/>
  <c r="D13762" i="1" s="1"/>
  <c r="C13763" i="1"/>
  <c r="C13765" i="1"/>
  <c r="D13765" i="1" s="1"/>
  <c r="C13766" i="1"/>
  <c r="C13771" i="1"/>
  <c r="D13771" i="1" s="1"/>
  <c r="C13777" i="1"/>
  <c r="C13780" i="1"/>
  <c r="D13780" i="1" s="1"/>
  <c r="C13783" i="1"/>
  <c r="C13789" i="1"/>
  <c r="D13789" i="1" s="1"/>
  <c r="C13790" i="1"/>
  <c r="C13795" i="1"/>
  <c r="D13795" i="1" s="1"/>
  <c r="C13797" i="1"/>
  <c r="C13798" i="1"/>
  <c r="D13798" i="1" s="1"/>
  <c r="C13799" i="1"/>
  <c r="C13803" i="1"/>
  <c r="D13803" i="1" s="1"/>
  <c r="C13811" i="1"/>
  <c r="C13813" i="1"/>
  <c r="D13813" i="1" s="1"/>
  <c r="C13816" i="1"/>
  <c r="C13819" i="1"/>
  <c r="D13819" i="1" s="1"/>
  <c r="C13821" i="1"/>
  <c r="C13825" i="1"/>
  <c r="D13825" i="1" s="1"/>
  <c r="C13826" i="1"/>
  <c r="C13838" i="1"/>
  <c r="D13838" i="1" s="1"/>
  <c r="C13845" i="1"/>
  <c r="C13850" i="1"/>
  <c r="D13850" i="1" s="1"/>
  <c r="C13854" i="1"/>
  <c r="C13857" i="1"/>
  <c r="D13857" i="1" s="1"/>
  <c r="C13869" i="1"/>
  <c r="C13873" i="1"/>
  <c r="D13873" i="1" s="1"/>
  <c r="C13880" i="1"/>
  <c r="C13882" i="1"/>
  <c r="D13882" i="1" s="1"/>
  <c r="C13883" i="1"/>
  <c r="C13885" i="1"/>
  <c r="D13885" i="1" s="1"/>
  <c r="C13892" i="1"/>
  <c r="C13896" i="1"/>
  <c r="D13896" i="1" s="1"/>
  <c r="C13903" i="1"/>
  <c r="C13905" i="1"/>
  <c r="D13905" i="1" s="1"/>
  <c r="C13911" i="1"/>
  <c r="C13917" i="1"/>
  <c r="D13917" i="1" s="1"/>
  <c r="C13926" i="1"/>
  <c r="C13932" i="1"/>
  <c r="D13932" i="1" s="1"/>
  <c r="C13933" i="1"/>
  <c r="C13934" i="1"/>
  <c r="D13934" i="1" s="1"/>
  <c r="C13935" i="1"/>
  <c r="C13942" i="1"/>
  <c r="D13942" i="1" s="1"/>
  <c r="C13947" i="1"/>
  <c r="C13950" i="1"/>
  <c r="D13950" i="1" s="1"/>
  <c r="C13960" i="1"/>
  <c r="C13962" i="1"/>
  <c r="D13962" i="1" s="1"/>
  <c r="C13964" i="1"/>
  <c r="C13972" i="1"/>
  <c r="D13972" i="1" s="1"/>
  <c r="C13974" i="1"/>
  <c r="C13975" i="1"/>
  <c r="D13975" i="1" s="1"/>
  <c r="C13979" i="1"/>
  <c r="C13981" i="1"/>
  <c r="D13981" i="1" s="1"/>
  <c r="C13983" i="1"/>
  <c r="C13984" i="1"/>
  <c r="D13984" i="1" s="1"/>
  <c r="C13993" i="1"/>
  <c r="C13996" i="1"/>
  <c r="D13996" i="1" s="1"/>
  <c r="C13997" i="1"/>
  <c r="C13999" i="1"/>
  <c r="D13999" i="1" s="1"/>
  <c r="C14000" i="1"/>
  <c r="C14001" i="1"/>
  <c r="D14001" i="1" s="1"/>
  <c r="C14010" i="1"/>
  <c r="C14011" i="1"/>
  <c r="D14011" i="1" s="1"/>
  <c r="C14018" i="1"/>
  <c r="C14022" i="1"/>
  <c r="D14022" i="1" s="1"/>
  <c r="C14032" i="1"/>
  <c r="C14033" i="1"/>
  <c r="D14033" i="1" s="1"/>
  <c r="C14042" i="1"/>
  <c r="C14061" i="1"/>
  <c r="D14061" i="1" s="1"/>
  <c r="C14062" i="1"/>
  <c r="C14065" i="1"/>
  <c r="D14065" i="1" s="1"/>
  <c r="C14070" i="1"/>
  <c r="C14075" i="1"/>
  <c r="D14075" i="1" s="1"/>
  <c r="C14076" i="1"/>
  <c r="C14090" i="1"/>
  <c r="D14090" i="1" s="1"/>
  <c r="C14093" i="1"/>
  <c r="C14106" i="1"/>
  <c r="D14106" i="1" s="1"/>
  <c r="C14110" i="1"/>
  <c r="C14115" i="1"/>
  <c r="D14115" i="1" s="1"/>
  <c r="C14117" i="1"/>
  <c r="C14118" i="1"/>
  <c r="D14118" i="1" s="1"/>
  <c r="C14122" i="1"/>
  <c r="C14142" i="1"/>
  <c r="D14142" i="1" s="1"/>
  <c r="C14143" i="1"/>
  <c r="C14151" i="1"/>
  <c r="D14151" i="1" s="1"/>
  <c r="C14153" i="1"/>
  <c r="C14160" i="1"/>
  <c r="D14160" i="1" s="1"/>
  <c r="C14161" i="1"/>
  <c r="C14163" i="1"/>
  <c r="D14163" i="1" s="1"/>
  <c r="C14164" i="1"/>
  <c r="C14197" i="1"/>
  <c r="D14197" i="1" s="1"/>
  <c r="C14200" i="1"/>
  <c r="C14201" i="1"/>
  <c r="D14201" i="1" s="1"/>
  <c r="C14204" i="1"/>
  <c r="C14206" i="1"/>
  <c r="D14206" i="1" s="1"/>
  <c r="C14207" i="1"/>
  <c r="C14212" i="1"/>
  <c r="D14212" i="1" s="1"/>
  <c r="C14218" i="1"/>
  <c r="C14220" i="1"/>
  <c r="D14220" i="1" s="1"/>
  <c r="C14239" i="1"/>
  <c r="D9009" i="1"/>
  <c r="D8876" i="1"/>
  <c r="D8775" i="1"/>
  <c r="D8680" i="1"/>
  <c r="D8582" i="1"/>
  <c r="D8540" i="1"/>
  <c r="D95" i="1"/>
  <c r="D5" i="1"/>
  <c r="D161" i="1"/>
  <c r="D14239" i="1"/>
  <c r="D14218" i="1"/>
  <c r="D14207" i="1"/>
  <c r="D14204" i="1"/>
  <c r="D14200" i="1"/>
  <c r="D14164" i="1"/>
  <c r="D14161" i="1"/>
  <c r="D14153" i="1"/>
  <c r="D14143" i="1"/>
  <c r="D14122" i="1"/>
  <c r="D14117" i="1"/>
  <c r="D14110" i="1"/>
  <c r="D14093" i="1"/>
  <c r="D14076" i="1"/>
  <c r="D14070" i="1"/>
  <c r="D14062" i="1"/>
  <c r="D14042" i="1"/>
  <c r="D14032" i="1"/>
  <c r="D14018" i="1"/>
  <c r="D14010" i="1"/>
  <c r="D14000" i="1"/>
  <c r="D13997" i="1"/>
  <c r="D13993" i="1"/>
  <c r="D13983" i="1"/>
  <c r="D13979" i="1"/>
  <c r="D13974" i="1"/>
  <c r="D13964" i="1"/>
  <c r="D13960" i="1"/>
  <c r="D13947" i="1"/>
  <c r="D13935" i="1"/>
  <c r="D13933" i="1"/>
  <c r="D13926" i="1"/>
  <c r="D13911" i="1"/>
  <c r="D13903" i="1"/>
  <c r="D13892" i="1"/>
  <c r="D13883" i="1"/>
  <c r="D13880" i="1"/>
  <c r="D13869" i="1"/>
  <c r="D13854" i="1"/>
  <c r="D13845" i="1"/>
  <c r="D13826" i="1"/>
  <c r="D13821" i="1"/>
  <c r="D13816" i="1"/>
  <c r="D13811" i="1"/>
  <c r="D13799" i="1"/>
  <c r="D13797" i="1"/>
  <c r="D13790" i="1"/>
  <c r="D13783" i="1"/>
  <c r="D13777" i="1"/>
  <c r="D13766" i="1"/>
  <c r="D13763" i="1"/>
  <c r="D13758" i="1"/>
  <c r="D13741" i="1"/>
  <c r="D13733" i="1"/>
  <c r="D13719" i="1"/>
  <c r="D13714" i="1"/>
  <c r="D13695" i="1"/>
  <c r="D13687" i="1"/>
  <c r="D13680" i="1"/>
  <c r="D13668" i="1"/>
  <c r="D13665" i="1"/>
  <c r="D13660" i="1"/>
  <c r="D13655" i="1"/>
  <c r="D13649" i="1"/>
  <c r="D13626" i="1"/>
  <c r="D13623" i="1"/>
  <c r="D13610" i="1"/>
  <c r="D13603" i="1"/>
  <c r="D13590" i="1"/>
  <c r="D13567" i="1"/>
  <c r="D13559" i="1"/>
  <c r="D13550" i="1"/>
  <c r="D13536" i="1"/>
  <c r="D13506" i="1"/>
  <c r="D13479" i="1"/>
  <c r="D13441" i="1"/>
  <c r="D13427" i="1"/>
  <c r="D13422" i="1"/>
  <c r="D13398" i="1"/>
  <c r="D13380" i="1"/>
  <c r="D13345" i="1"/>
  <c r="D13335" i="1"/>
  <c r="D13315" i="1"/>
  <c r="D13298" i="1"/>
  <c r="D13295" i="1"/>
  <c r="D13291" i="1"/>
  <c r="D13286" i="1"/>
  <c r="D13275" i="1"/>
  <c r="D13266" i="1"/>
  <c r="D13260" i="1"/>
  <c r="D13255" i="1"/>
  <c r="D13242" i="1"/>
  <c r="D13235" i="1"/>
  <c r="D13230" i="1"/>
  <c r="D13227" i="1"/>
  <c r="D13225" i="1"/>
  <c r="D13214" i="1"/>
  <c r="D13206" i="1"/>
  <c r="D13194" i="1"/>
  <c r="D13191" i="1"/>
  <c r="D13182" i="1"/>
  <c r="D13180" i="1"/>
  <c r="D13168" i="1"/>
  <c r="D13163" i="1"/>
  <c r="D13157" i="1"/>
  <c r="D13152" i="1"/>
  <c r="D13140" i="1"/>
  <c r="D13132" i="1"/>
  <c r="D13127" i="1"/>
  <c r="D13117" i="1"/>
  <c r="D13114" i="1"/>
  <c r="D13111" i="1"/>
  <c r="D13106" i="1"/>
  <c r="D13097" i="1"/>
  <c r="D13093" i="1"/>
  <c r="D13090" i="1"/>
  <c r="D13087" i="1"/>
  <c r="D13082" i="1"/>
  <c r="D13076" i="1"/>
  <c r="D13073" i="1"/>
  <c r="D13068" i="1"/>
  <c r="D13049" i="1"/>
  <c r="D13044" i="1"/>
  <c r="D13034" i="1"/>
  <c r="D13029" i="1"/>
  <c r="D13023" i="1"/>
  <c r="D13018" i="1"/>
  <c r="D12992" i="1"/>
  <c r="D12988" i="1"/>
  <c r="D12985" i="1"/>
  <c r="D12973" i="1"/>
  <c r="D12961" i="1"/>
  <c r="D12954" i="1"/>
  <c r="D12950" i="1"/>
  <c r="D12943" i="1"/>
  <c r="D12906" i="1"/>
  <c r="D12891" i="1"/>
  <c r="D12884" i="1"/>
  <c r="D12880" i="1"/>
  <c r="D12877" i="1"/>
  <c r="D12861" i="1"/>
  <c r="D12821" i="1"/>
  <c r="D12815" i="1"/>
  <c r="D12807" i="1"/>
  <c r="D12796" i="1"/>
  <c r="D12758" i="1"/>
  <c r="D12731" i="1"/>
  <c r="D12726" i="1"/>
  <c r="D12707" i="1"/>
  <c r="D12697" i="1"/>
  <c r="D12693" i="1"/>
  <c r="D12688" i="1"/>
  <c r="D12677" i="1"/>
  <c r="D12673" i="1"/>
  <c r="D12664" i="1"/>
  <c r="D12659" i="1"/>
  <c r="D12654" i="1"/>
  <c r="D12643" i="1"/>
  <c r="D12640" i="1"/>
  <c r="D12631" i="1"/>
  <c r="D12604" i="1"/>
  <c r="D12596" i="1"/>
  <c r="D12587" i="1"/>
  <c r="D12582" i="1"/>
  <c r="D12573" i="1"/>
  <c r="D12570" i="1"/>
  <c r="D12562" i="1"/>
  <c r="D12558" i="1"/>
  <c r="D12526" i="1"/>
  <c r="D12506" i="1"/>
  <c r="D12503" i="1"/>
  <c r="D12495" i="1"/>
  <c r="D12483" i="1"/>
  <c r="D12479" i="1"/>
  <c r="D12464" i="1"/>
  <c r="D12458" i="1"/>
  <c r="D12453" i="1"/>
  <c r="D12450" i="1"/>
  <c r="D12419" i="1"/>
  <c r="D12407" i="1"/>
  <c r="D12397" i="1"/>
  <c r="D12365" i="1"/>
  <c r="D12312" i="1"/>
  <c r="D12284" i="1"/>
  <c r="D12271" i="1"/>
  <c r="D12269" i="1"/>
  <c r="D12258" i="1"/>
  <c r="D12243" i="1"/>
  <c r="D12234" i="1"/>
  <c r="D12229" i="1"/>
  <c r="D12227" i="1"/>
  <c r="D12223" i="1"/>
  <c r="D12217" i="1"/>
  <c r="D12211" i="1"/>
  <c r="D12194" i="1"/>
  <c r="D12181" i="1"/>
  <c r="D12173" i="1"/>
  <c r="D12165" i="1"/>
  <c r="D12147" i="1"/>
  <c r="D12134" i="1"/>
  <c r="D12131" i="1"/>
  <c r="D12104" i="1"/>
  <c r="D12098" i="1"/>
  <c r="D12080" i="1"/>
  <c r="D12064" i="1"/>
  <c r="D12046" i="1"/>
  <c r="D12039" i="1"/>
  <c r="D12035" i="1"/>
  <c r="D12028" i="1"/>
  <c r="D12024" i="1"/>
  <c r="D12012" i="1"/>
  <c r="D12002" i="1"/>
  <c r="D11981" i="1"/>
  <c r="D11976" i="1"/>
  <c r="D11965" i="1"/>
  <c r="D11963" i="1"/>
  <c r="D11934" i="1"/>
  <c r="D11931" i="1"/>
  <c r="D11919" i="1"/>
  <c r="D11913" i="1"/>
  <c r="D11902" i="1"/>
  <c r="D11893" i="1"/>
  <c r="D11887" i="1"/>
  <c r="D11880" i="1"/>
  <c r="D11870" i="1"/>
  <c r="D11863" i="1"/>
  <c r="D11840" i="1"/>
  <c r="D11814" i="1"/>
  <c r="D11795" i="1"/>
  <c r="D11784" i="1"/>
  <c r="D11755" i="1"/>
  <c r="D11740" i="1"/>
  <c r="D11734" i="1"/>
  <c r="D11729" i="1"/>
  <c r="D11721" i="1"/>
  <c r="D11713" i="1"/>
  <c r="D11695" i="1"/>
  <c r="D11674" i="1"/>
  <c r="D11660" i="1"/>
  <c r="D11658" i="1"/>
  <c r="D11650" i="1"/>
  <c r="D11645" i="1"/>
  <c r="D11641" i="1"/>
  <c r="D11635" i="1"/>
  <c r="D11626" i="1"/>
  <c r="D11611" i="1"/>
  <c r="D11598" i="1"/>
  <c r="D11591" i="1"/>
  <c r="D11576" i="1"/>
  <c r="D11566" i="1"/>
  <c r="D11554" i="1"/>
  <c r="D11551" i="1"/>
  <c r="D11542" i="1"/>
  <c r="D11533" i="1"/>
  <c r="D11522" i="1"/>
  <c r="D11511" i="1"/>
  <c r="D11505" i="1"/>
  <c r="D11492" i="1"/>
  <c r="D11472" i="1"/>
  <c r="D11465" i="1"/>
  <c r="D11456" i="1"/>
  <c r="D11451" i="1"/>
  <c r="D11438" i="1"/>
  <c r="D11422" i="1"/>
  <c r="D11407" i="1"/>
  <c r="D11398" i="1"/>
  <c r="D11395" i="1"/>
  <c r="D11389" i="1"/>
  <c r="D11385" i="1"/>
  <c r="D11379" i="1"/>
  <c r="D11373" i="1"/>
  <c r="D11361" i="1"/>
  <c r="D11353" i="1"/>
  <c r="D11340" i="1"/>
  <c r="D11330" i="1"/>
  <c r="D11327" i="1"/>
  <c r="D11318" i="1"/>
  <c r="D11310" i="1"/>
  <c r="D11291" i="1"/>
  <c r="D11287" i="1"/>
  <c r="D11279" i="1"/>
  <c r="D11274" i="1"/>
  <c r="D11262" i="1"/>
  <c r="D11259" i="1"/>
  <c r="D11255" i="1"/>
  <c r="D11242" i="1"/>
  <c r="D11224" i="1"/>
  <c r="D11220" i="1"/>
  <c r="D11214" i="1"/>
  <c r="D11204" i="1"/>
  <c r="D11197" i="1"/>
  <c r="D11195" i="1"/>
  <c r="D11178" i="1"/>
  <c r="D11174" i="1"/>
  <c r="D11163" i="1"/>
  <c r="D11157" i="1"/>
  <c r="D11148" i="1"/>
  <c r="D11141" i="1"/>
  <c r="D11139" i="1"/>
  <c r="D11137" i="1"/>
  <c r="D11135" i="1"/>
  <c r="D11123" i="1"/>
  <c r="D11117" i="1"/>
  <c r="D11113" i="1"/>
  <c r="D11099" i="1"/>
  <c r="D11094" i="1"/>
  <c r="D11072" i="1"/>
  <c r="D11068" i="1"/>
  <c r="D11063" i="1"/>
  <c r="D11056" i="1"/>
  <c r="D11046" i="1"/>
  <c r="D11040" i="1"/>
  <c r="D11010" i="1"/>
  <c r="D11007" i="1"/>
  <c r="D11000" i="1"/>
  <c r="D10974" i="1"/>
  <c r="D10941" i="1"/>
  <c r="D10900" i="1"/>
  <c r="D10886" i="1"/>
  <c r="D10857" i="1"/>
  <c r="D10832" i="1"/>
  <c r="D10797" i="1"/>
  <c r="D10770" i="1"/>
  <c r="D10744" i="1"/>
  <c r="D10739" i="1"/>
  <c r="D10734" i="1"/>
  <c r="D10725" i="1"/>
  <c r="D10705" i="1"/>
  <c r="D10698" i="1"/>
  <c r="D10695" i="1"/>
  <c r="D10691" i="1"/>
  <c r="D10687" i="1"/>
  <c r="D10678" i="1"/>
  <c r="D10664" i="1"/>
  <c r="D10657" i="1"/>
  <c r="D10652" i="1"/>
  <c r="D10645" i="1"/>
  <c r="D10632" i="1"/>
  <c r="D10627" i="1"/>
  <c r="D10616" i="1"/>
  <c r="D10605" i="1"/>
  <c r="D10598" i="1"/>
  <c r="D10588" i="1"/>
  <c r="D10581" i="1"/>
  <c r="D10574" i="1"/>
  <c r="D10565" i="1"/>
  <c r="D10561" i="1"/>
  <c r="D10548" i="1"/>
  <c r="D10539" i="1"/>
  <c r="D10531" i="1"/>
  <c r="D10520" i="1"/>
  <c r="D10497" i="1"/>
  <c r="D10490" i="1"/>
  <c r="D10481" i="1"/>
  <c r="D10477" i="1"/>
  <c r="D10471" i="1"/>
  <c r="D10462" i="1"/>
  <c r="D10440" i="1"/>
  <c r="D10425" i="1"/>
  <c r="D10420" i="1"/>
  <c r="D10415" i="1"/>
  <c r="D10406" i="1"/>
  <c r="D10405" i="1"/>
  <c r="D10404" i="1"/>
  <c r="D10403" i="1"/>
  <c r="D10401" i="1"/>
  <c r="D10396" i="1"/>
  <c r="D10388" i="1"/>
  <c r="D10384" i="1"/>
  <c r="D10382" i="1"/>
  <c r="D10379" i="1"/>
  <c r="D10376" i="1"/>
  <c r="D10375" i="1"/>
  <c r="D10370" i="1"/>
  <c r="D10367" i="1"/>
  <c r="D10358" i="1"/>
  <c r="D10356" i="1"/>
  <c r="D10350" i="1"/>
  <c r="D10345" i="1"/>
  <c r="D10338" i="1"/>
  <c r="D10335" i="1"/>
  <c r="D10332" i="1"/>
  <c r="D10328" i="1"/>
  <c r="D10320" i="1"/>
  <c r="D10316" i="1"/>
  <c r="D10312" i="1"/>
  <c r="D10310" i="1"/>
  <c r="D10303" i="1"/>
  <c r="D10302" i="1"/>
  <c r="D10296" i="1"/>
  <c r="D10293" i="1"/>
  <c r="D10287" i="1"/>
  <c r="D10285" i="1"/>
  <c r="D10284" i="1"/>
  <c r="D10283" i="1"/>
  <c r="D10281" i="1"/>
  <c r="D10280" i="1"/>
  <c r="D10273" i="1"/>
  <c r="D10272" i="1"/>
  <c r="D10270" i="1"/>
  <c r="D10268" i="1"/>
  <c r="D10264" i="1"/>
  <c r="D10262" i="1"/>
  <c r="D10260" i="1"/>
  <c r="D10257" i="1"/>
  <c r="D10255" i="1"/>
  <c r="D10254" i="1"/>
  <c r="D10247" i="1"/>
  <c r="D10246" i="1"/>
  <c r="D10244" i="1"/>
  <c r="D10241" i="1"/>
  <c r="D10238" i="1"/>
  <c r="D10228" i="1"/>
  <c r="D10222" i="1"/>
  <c r="D10204" i="1"/>
  <c r="D10203" i="1"/>
  <c r="D10191" i="1"/>
  <c r="D10182" i="1"/>
  <c r="D10169" i="1"/>
  <c r="D10165" i="1"/>
  <c r="D10154" i="1"/>
  <c r="D10109" i="1"/>
  <c r="D10104" i="1"/>
  <c r="D10088" i="1"/>
  <c r="D10086" i="1"/>
  <c r="D10084" i="1"/>
  <c r="D10068" i="1"/>
  <c r="D10060" i="1"/>
  <c r="D10058" i="1"/>
  <c r="D10050" i="1"/>
  <c r="D10049" i="1"/>
  <c r="D10027" i="1"/>
  <c r="D10017" i="1"/>
  <c r="D10010" i="1"/>
  <c r="D10008" i="1"/>
  <c r="D10006" i="1"/>
  <c r="D10002" i="1"/>
  <c r="D9997" i="1"/>
  <c r="D9994" i="1"/>
  <c r="D9989" i="1"/>
  <c r="D9979" i="1"/>
  <c r="D9974" i="1"/>
  <c r="D9970" i="1"/>
  <c r="D9951" i="1"/>
  <c r="D9946" i="1"/>
  <c r="D9941" i="1"/>
  <c r="D9938" i="1"/>
  <c r="D9932" i="1"/>
  <c r="D9930" i="1"/>
  <c r="D9920" i="1"/>
  <c r="D9913" i="1"/>
  <c r="D9902" i="1"/>
  <c r="D9877" i="1"/>
  <c r="D9858" i="1"/>
  <c r="D9853" i="1"/>
  <c r="D9847" i="1"/>
  <c r="D9842" i="1"/>
  <c r="D9840" i="1"/>
  <c r="D9836" i="1"/>
  <c r="D9835" i="1"/>
  <c r="D9828" i="1"/>
  <c r="D9827" i="1"/>
  <c r="D9825" i="1"/>
  <c r="D9820" i="1"/>
  <c r="D9818" i="1"/>
  <c r="D9817" i="1"/>
  <c r="D9808" i="1"/>
  <c r="D9801" i="1"/>
  <c r="D9798" i="1"/>
  <c r="D9795" i="1"/>
  <c r="D9792" i="1"/>
  <c r="D9790" i="1"/>
  <c r="D9785" i="1"/>
  <c r="D9779" i="1"/>
  <c r="D9777" i="1"/>
  <c r="D9775" i="1"/>
  <c r="D9774" i="1"/>
  <c r="D9772" i="1"/>
  <c r="D9768" i="1"/>
  <c r="D9766" i="1"/>
  <c r="D9765" i="1"/>
  <c r="D9762" i="1"/>
  <c r="D9760" i="1"/>
  <c r="D9755" i="1"/>
  <c r="D9753" i="1"/>
  <c r="D9751" i="1"/>
  <c r="D9748" i="1"/>
  <c r="D9747" i="1"/>
  <c r="D9743" i="1"/>
  <c r="D9742" i="1"/>
  <c r="D9736" i="1"/>
  <c r="D9734" i="1"/>
  <c r="D9723" i="1"/>
  <c r="D9721" i="1"/>
  <c r="D9718" i="1"/>
  <c r="D9713" i="1"/>
  <c r="D9711" i="1"/>
  <c r="D9707" i="1"/>
  <c r="D9706" i="1"/>
  <c r="D9704" i="1"/>
  <c r="D9697" i="1"/>
  <c r="D9696" i="1"/>
  <c r="D9690" i="1"/>
  <c r="D9689" i="1"/>
  <c r="D9685" i="1"/>
  <c r="D9680" i="1"/>
  <c r="D9678" i="1"/>
  <c r="D9676" i="1"/>
  <c r="D9674" i="1"/>
  <c r="D9672" i="1"/>
  <c r="D9671" i="1"/>
  <c r="D9660" i="1"/>
  <c r="D9650" i="1"/>
  <c r="D9649" i="1"/>
  <c r="D9646" i="1"/>
  <c r="D9640" i="1"/>
  <c r="D9637" i="1"/>
  <c r="D9632" i="1"/>
  <c r="D9631" i="1"/>
  <c r="D9628" i="1"/>
  <c r="D9622" i="1"/>
  <c r="D9620" i="1"/>
  <c r="D9616" i="1"/>
  <c r="D9612" i="1"/>
  <c r="D9610" i="1"/>
  <c r="D9608" i="1"/>
  <c r="D9597" i="1"/>
  <c r="D9596" i="1"/>
  <c r="D9590" i="1"/>
  <c r="D9587" i="1"/>
  <c r="D9585" i="1"/>
  <c r="D9576" i="1"/>
  <c r="D9570" i="1"/>
  <c r="D9569" i="1"/>
  <c r="D9558" i="1"/>
  <c r="D9551" i="1"/>
  <c r="D9549" i="1"/>
  <c r="D9541" i="1"/>
  <c r="D9540" i="1"/>
  <c r="D9535" i="1"/>
  <c r="D9532" i="1"/>
  <c r="D9529" i="1"/>
  <c r="D9527" i="1"/>
  <c r="D9525" i="1"/>
  <c r="D9522" i="1"/>
  <c r="D9520" i="1"/>
  <c r="D9510" i="1"/>
  <c r="D9505" i="1"/>
  <c r="D9504" i="1"/>
  <c r="D9503" i="1"/>
  <c r="D9501" i="1"/>
  <c r="D9500" i="1"/>
  <c r="D9493" i="1"/>
  <c r="D9485" i="1"/>
  <c r="D9471" i="1"/>
  <c r="D9470" i="1"/>
  <c r="D9465" i="1"/>
  <c r="D9460" i="1"/>
  <c r="D9459" i="1"/>
  <c r="D9458" i="1"/>
  <c r="D9454" i="1"/>
  <c r="D9453" i="1"/>
  <c r="D9451" i="1"/>
  <c r="D9445" i="1"/>
  <c r="D9444" i="1"/>
  <c r="D9439" i="1"/>
  <c r="D9429" i="1"/>
  <c r="D9427" i="1"/>
  <c r="D9425" i="1"/>
  <c r="D9418" i="1"/>
  <c r="D9415" i="1"/>
  <c r="D9414" i="1"/>
  <c r="D9412" i="1"/>
  <c r="D9411" i="1"/>
  <c r="D9409" i="1"/>
  <c r="D9404" i="1"/>
  <c r="D9403" i="1"/>
  <c r="D9402" i="1"/>
  <c r="D9397" i="1"/>
  <c r="D9396" i="1"/>
  <c r="D9389" i="1"/>
  <c r="D9388" i="1"/>
  <c r="D9380" i="1"/>
  <c r="D9375" i="1"/>
  <c r="D9374" i="1"/>
  <c r="D9373" i="1"/>
  <c r="D9371" i="1"/>
  <c r="D9370" i="1"/>
  <c r="D9368" i="1"/>
  <c r="D9366" i="1"/>
  <c r="D9359" i="1"/>
  <c r="D9350" i="1"/>
  <c r="D9346" i="1"/>
  <c r="D9338" i="1"/>
  <c r="D9328" i="1"/>
  <c r="D9324" i="1"/>
  <c r="D9323" i="1"/>
  <c r="D9321" i="1"/>
  <c r="D9320" i="1"/>
  <c r="D9318" i="1"/>
  <c r="D9314" i="1"/>
  <c r="D9311" i="1"/>
  <c r="D9307" i="1"/>
  <c r="D9306" i="1"/>
  <c r="D9287" i="1"/>
  <c r="D9286" i="1"/>
  <c r="D9281" i="1"/>
  <c r="D9277" i="1"/>
  <c r="D9273" i="1"/>
  <c r="D9271" i="1"/>
  <c r="D9264" i="1"/>
  <c r="D9263" i="1"/>
  <c r="D9261" i="1"/>
  <c r="D9257" i="1"/>
  <c r="D9248" i="1"/>
  <c r="D9247" i="1"/>
  <c r="D9244" i="1"/>
  <c r="D9242" i="1"/>
  <c r="D9235" i="1"/>
  <c r="D9230" i="1"/>
  <c r="D9228" i="1"/>
  <c r="D9225" i="1"/>
  <c r="D9221" i="1"/>
  <c r="D9212" i="1"/>
  <c r="D9209" i="1"/>
  <c r="D9204" i="1"/>
  <c r="D9203" i="1"/>
  <c r="D9202" i="1"/>
  <c r="D9198" i="1"/>
  <c r="D9197" i="1"/>
  <c r="D9183" i="1"/>
  <c r="D9176" i="1"/>
  <c r="D9175" i="1"/>
  <c r="D9174" i="1"/>
  <c r="D9173" i="1"/>
  <c r="D9167" i="1"/>
  <c r="D9163" i="1"/>
  <c r="D9157" i="1"/>
  <c r="D9153" i="1"/>
  <c r="D9149" i="1"/>
  <c r="D9148" i="1"/>
  <c r="D9147" i="1"/>
  <c r="D9139" i="1"/>
  <c r="D9130" i="1"/>
  <c r="D9124" i="1"/>
  <c r="D9119" i="1"/>
  <c r="D9117" i="1"/>
  <c r="D9112" i="1"/>
  <c r="D9098" i="1"/>
  <c r="D9095" i="1"/>
  <c r="D9094" i="1"/>
  <c r="D9093" i="1"/>
  <c r="D9083" i="1"/>
  <c r="D9080" i="1"/>
  <c r="D9075" i="1"/>
  <c r="D9071" i="1"/>
  <c r="D9064" i="1"/>
  <c r="D9054" i="1"/>
  <c r="D9052" i="1"/>
  <c r="D9051" i="1"/>
  <c r="D9049" i="1"/>
  <c r="D9047" i="1"/>
  <c r="D9037" i="1"/>
  <c r="D9028" i="1"/>
  <c r="D9024" i="1"/>
  <c r="D9018" i="1"/>
  <c r="D9014" i="1"/>
  <c r="D9012" i="1"/>
  <c r="D8995" i="1"/>
  <c r="D8992" i="1"/>
  <c r="D8979" i="1"/>
  <c r="D8973" i="1"/>
  <c r="D8965" i="1"/>
  <c r="D8961" i="1"/>
  <c r="D8954" i="1"/>
  <c r="D8944" i="1"/>
  <c r="D8936" i="1"/>
  <c r="D8932" i="1"/>
  <c r="D8913" i="1"/>
  <c r="D8908" i="1"/>
  <c r="D8903" i="1"/>
  <c r="D8894" i="1"/>
  <c r="D8887" i="1"/>
  <c r="D8882" i="1"/>
  <c r="D8866" i="1"/>
  <c r="D8840" i="1"/>
  <c r="D8837" i="1"/>
  <c r="D8823" i="1"/>
  <c r="D8819" i="1"/>
  <c r="D8816" i="1"/>
  <c r="D8813" i="1"/>
  <c r="D8808" i="1"/>
  <c r="D8802" i="1"/>
  <c r="D8794" i="1"/>
  <c r="D8791" i="1"/>
  <c r="D8789" i="1"/>
  <c r="D8787" i="1"/>
  <c r="D8783" i="1"/>
  <c r="D8781" i="1"/>
  <c r="D8776" i="1"/>
  <c r="D8774" i="1"/>
  <c r="D8769" i="1"/>
  <c r="D8765" i="1"/>
  <c r="D8763" i="1"/>
  <c r="D8758" i="1"/>
  <c r="D8747" i="1"/>
  <c r="D8738" i="1"/>
  <c r="D8734" i="1"/>
  <c r="D8726" i="1"/>
  <c r="D8720" i="1"/>
  <c r="D8709" i="1"/>
  <c r="D8706" i="1"/>
  <c r="D8702" i="1"/>
  <c r="D8699" i="1"/>
  <c r="D8690" i="1"/>
  <c r="D8681" i="1"/>
  <c r="D8669" i="1"/>
  <c r="D8663" i="1"/>
  <c r="D8659" i="1"/>
  <c r="D8646" i="1"/>
  <c r="D8639" i="1"/>
  <c r="D8635" i="1"/>
  <c r="D8630" i="1"/>
  <c r="D8619" i="1"/>
  <c r="D8611" i="1"/>
  <c r="D8608" i="1"/>
  <c r="D8598" i="1"/>
  <c r="D8595" i="1"/>
  <c r="D8590" i="1"/>
  <c r="D8588" i="1"/>
  <c r="D8585" i="1"/>
  <c r="D8583" i="1"/>
  <c r="D8579" i="1"/>
  <c r="D8577" i="1"/>
  <c r="D8574" i="1"/>
  <c r="D8572" i="1"/>
  <c r="D8569" i="1"/>
  <c r="D8567" i="1"/>
  <c r="D8565" i="1"/>
  <c r="D8563" i="1"/>
  <c r="D8561" i="1"/>
  <c r="D8557" i="1"/>
  <c r="D8555" i="1"/>
  <c r="D8552" i="1"/>
  <c r="D8549" i="1"/>
  <c r="D8547" i="1"/>
  <c r="D8545" i="1"/>
  <c r="D8542" i="1"/>
  <c r="D8537" i="1"/>
  <c r="D8535" i="1"/>
  <c r="D8532" i="1"/>
  <c r="D8529" i="1"/>
  <c r="D8526" i="1"/>
  <c r="D8524" i="1"/>
  <c r="D8521" i="1"/>
  <c r="D8517" i="1"/>
  <c r="D8503" i="1"/>
  <c r="D8497" i="1"/>
  <c r="D8492" i="1"/>
  <c r="D8478" i="1"/>
  <c r="D8438" i="1"/>
  <c r="D8436" i="1"/>
  <c r="D8401" i="1"/>
  <c r="D8384" i="1"/>
  <c r="D8381" i="1"/>
  <c r="D8363" i="1"/>
  <c r="D8358" i="1"/>
  <c r="D8354" i="1"/>
  <c r="D8351" i="1"/>
  <c r="D8349" i="1"/>
  <c r="D8344" i="1"/>
  <c r="D8342" i="1"/>
  <c r="D8340" i="1"/>
  <c r="D8337" i="1"/>
  <c r="D8332" i="1"/>
  <c r="D8329" i="1"/>
  <c r="D8327" i="1"/>
  <c r="D8325" i="1"/>
  <c r="D8319" i="1"/>
  <c r="D8317" i="1"/>
  <c r="D8308" i="1"/>
  <c r="D8305" i="1"/>
  <c r="D8300" i="1"/>
  <c r="D8298" i="1"/>
  <c r="D8295" i="1"/>
  <c r="D8292" i="1"/>
  <c r="D8290" i="1"/>
  <c r="D8287" i="1"/>
  <c r="D8283" i="1"/>
  <c r="D8278" i="1"/>
  <c r="D8267" i="1"/>
  <c r="D8259" i="1"/>
  <c r="D8253" i="1"/>
  <c r="D8241" i="1"/>
  <c r="D8227" i="1"/>
  <c r="D8222" i="1"/>
  <c r="D8215" i="1"/>
  <c r="D8207" i="1"/>
  <c r="D8199" i="1"/>
  <c r="D8192" i="1"/>
  <c r="D8188" i="1"/>
  <c r="D8184" i="1"/>
  <c r="D8170" i="1"/>
  <c r="D8149" i="1"/>
  <c r="D8138" i="1"/>
  <c r="D8132" i="1"/>
  <c r="D8124" i="1"/>
  <c r="D8108" i="1"/>
  <c r="D8101" i="1"/>
  <c r="D8093" i="1"/>
  <c r="D8087" i="1"/>
  <c r="D8080" i="1"/>
  <c r="D8069" i="1"/>
  <c r="D8064" i="1"/>
  <c r="D8053" i="1"/>
  <c r="D8051" i="1"/>
  <c r="D8047" i="1"/>
  <c r="D8035" i="1"/>
  <c r="D8032" i="1"/>
  <c r="D8030" i="1"/>
  <c r="D8019" i="1"/>
  <c r="D8014" i="1"/>
  <c r="D8001" i="1"/>
  <c r="D7988" i="1"/>
  <c r="D7984" i="1"/>
  <c r="D7977" i="1"/>
  <c r="D7965" i="1"/>
  <c r="D7960" i="1"/>
  <c r="D7949" i="1"/>
  <c r="D7933" i="1"/>
  <c r="D7931" i="1"/>
  <c r="D7929" i="1"/>
  <c r="D7916" i="1"/>
  <c r="D7909" i="1"/>
  <c r="D7905" i="1"/>
  <c r="D7898" i="1"/>
  <c r="D7882" i="1"/>
  <c r="D7879" i="1"/>
  <c r="D7873" i="1"/>
  <c r="D7870" i="1"/>
  <c r="D7858" i="1"/>
  <c r="D7855" i="1"/>
  <c r="D7851" i="1"/>
  <c r="D7849" i="1"/>
  <c r="D7837" i="1"/>
  <c r="D7834" i="1"/>
  <c r="D7829" i="1"/>
  <c r="D7827" i="1"/>
  <c r="D7818" i="1"/>
  <c r="D7815" i="1"/>
  <c r="D7805" i="1"/>
  <c r="D7801" i="1"/>
  <c r="D7786" i="1"/>
  <c r="D7778" i="1"/>
  <c r="D7764" i="1"/>
  <c r="D7756" i="1"/>
  <c r="D7752" i="1"/>
  <c r="D7746" i="1"/>
  <c r="D7743" i="1"/>
  <c r="D7736" i="1"/>
  <c r="D7734" i="1"/>
  <c r="D7732" i="1"/>
  <c r="D7723" i="1"/>
  <c r="D7720" i="1"/>
  <c r="D7716" i="1"/>
  <c r="D7702" i="1"/>
  <c r="D7690" i="1"/>
  <c r="D7679" i="1"/>
  <c r="D7675" i="1"/>
  <c r="D7671" i="1"/>
  <c r="D7666" i="1"/>
  <c r="D7658" i="1"/>
  <c r="D7647" i="1"/>
  <c r="D7634" i="1"/>
  <c r="D7629" i="1"/>
  <c r="D7616" i="1"/>
  <c r="D7605" i="1"/>
  <c r="D7596" i="1"/>
  <c r="D7591" i="1"/>
  <c r="D7584" i="1"/>
  <c r="D7576" i="1"/>
  <c r="D7572" i="1"/>
  <c r="D7568" i="1"/>
  <c r="D7564" i="1"/>
  <c r="D7559" i="1"/>
  <c r="D7556" i="1"/>
  <c r="D7548" i="1"/>
  <c r="D7541" i="1"/>
  <c r="D7539" i="1"/>
  <c r="D7516" i="1"/>
  <c r="D7512" i="1"/>
  <c r="D7504" i="1"/>
  <c r="D7489" i="1"/>
  <c r="D7484" i="1"/>
  <c r="D7476" i="1"/>
  <c r="D7473" i="1"/>
  <c r="D7472" i="1"/>
  <c r="D7466" i="1"/>
  <c r="D7460" i="1"/>
  <c r="D7456" i="1"/>
  <c r="D7445" i="1"/>
  <c r="D7444" i="1"/>
  <c r="D7440" i="1"/>
  <c r="D7435" i="1"/>
  <c r="D7432" i="1"/>
  <c r="D7427" i="1"/>
  <c r="D7422" i="1"/>
  <c r="D7421" i="1"/>
  <c r="D7419" i="1"/>
  <c r="D7405" i="1"/>
  <c r="D7389" i="1"/>
  <c r="D7381" i="1"/>
  <c r="D7378" i="1"/>
  <c r="D7368" i="1"/>
  <c r="D7367" i="1"/>
  <c r="D7362" i="1"/>
  <c r="D7360" i="1"/>
  <c r="D7357" i="1"/>
  <c r="D7353" i="1"/>
  <c r="D7352" i="1"/>
  <c r="D7351" i="1"/>
  <c r="D7349" i="1"/>
  <c r="D7348" i="1"/>
  <c r="D7347" i="1"/>
  <c r="D7344" i="1"/>
  <c r="D7342" i="1"/>
  <c r="D7341" i="1"/>
  <c r="D7340" i="1"/>
  <c r="D7339" i="1"/>
  <c r="D7337" i="1"/>
  <c r="D7327" i="1"/>
  <c r="D7324" i="1"/>
  <c r="D7319" i="1"/>
  <c r="D7311" i="1"/>
  <c r="D7297" i="1"/>
  <c r="D7296" i="1"/>
  <c r="D7293" i="1"/>
  <c r="D7292" i="1"/>
  <c r="D7290" i="1"/>
  <c r="D7285" i="1"/>
  <c r="D7283" i="1"/>
  <c r="D7277" i="1"/>
  <c r="D7266" i="1"/>
  <c r="D7265" i="1"/>
  <c r="D7261" i="1"/>
  <c r="D7257" i="1"/>
  <c r="D7256" i="1"/>
  <c r="D7250" i="1"/>
  <c r="D7243" i="1"/>
  <c r="D7235" i="1"/>
  <c r="D7231" i="1"/>
  <c r="D7230" i="1"/>
  <c r="D7224" i="1"/>
  <c r="D7221" i="1"/>
  <c r="D7213" i="1"/>
  <c r="D7211" i="1"/>
  <c r="D7208" i="1"/>
  <c r="D7206" i="1"/>
  <c r="D7205" i="1"/>
  <c r="D7201" i="1"/>
  <c r="D7200" i="1"/>
  <c r="D7199" i="1"/>
  <c r="D7196" i="1"/>
  <c r="D7194" i="1"/>
  <c r="D7193" i="1"/>
  <c r="D7187" i="1"/>
  <c r="D7186" i="1"/>
  <c r="D7185" i="1"/>
  <c r="D7184" i="1"/>
  <c r="D7181" i="1"/>
  <c r="D7179" i="1"/>
  <c r="D7177" i="1"/>
  <c r="D7176" i="1"/>
  <c r="D7175" i="1"/>
  <c r="D7174" i="1"/>
  <c r="D7172" i="1"/>
  <c r="D7168" i="1"/>
  <c r="D7167" i="1"/>
  <c r="D7165" i="1"/>
  <c r="D7163" i="1"/>
  <c r="D7162" i="1"/>
  <c r="D7161" i="1"/>
  <c r="D7156" i="1"/>
  <c r="D7155" i="1"/>
  <c r="D7153" i="1"/>
  <c r="D7148" i="1"/>
  <c r="D7147" i="1"/>
  <c r="D7141" i="1"/>
  <c r="D7136" i="1"/>
  <c r="D7135" i="1"/>
  <c r="D7134" i="1"/>
  <c r="D7129" i="1"/>
  <c r="D7127" i="1"/>
  <c r="D7126" i="1"/>
  <c r="D7124" i="1"/>
  <c r="D7120" i="1"/>
  <c r="D7119" i="1"/>
  <c r="D7091" i="1"/>
  <c r="D7090" i="1"/>
  <c r="D7086" i="1"/>
  <c r="D7084" i="1"/>
  <c r="D7077" i="1"/>
  <c r="D7068" i="1"/>
  <c r="D7065" i="1"/>
  <c r="D7064" i="1"/>
  <c r="D7061" i="1"/>
  <c r="D7053" i="1"/>
  <c r="D7050" i="1"/>
  <c r="D7047" i="1"/>
  <c r="D7039" i="1"/>
  <c r="D7028" i="1"/>
  <c r="D7027" i="1"/>
  <c r="D7023" i="1"/>
  <c r="D7016" i="1"/>
  <c r="D7012" i="1"/>
  <c r="D7005" i="1"/>
  <c r="D6995" i="1"/>
  <c r="D6988" i="1"/>
  <c r="D6975" i="1"/>
  <c r="D6972" i="1"/>
  <c r="D6957" i="1"/>
  <c r="D6956" i="1"/>
  <c r="D6949" i="1"/>
  <c r="D6932" i="1"/>
  <c r="D6925" i="1"/>
  <c r="D6921" i="1"/>
  <c r="D6917" i="1"/>
  <c r="D6906" i="1"/>
  <c r="D6898" i="1"/>
  <c r="D6885" i="1"/>
  <c r="D6884" i="1"/>
  <c r="D6878" i="1"/>
  <c r="D6862" i="1"/>
  <c r="D6856" i="1"/>
  <c r="D6849" i="1"/>
  <c r="D6848" i="1"/>
  <c r="D6839" i="1"/>
  <c r="D6837" i="1"/>
  <c r="D6834" i="1"/>
  <c r="D6827" i="1"/>
  <c r="D6821" i="1"/>
  <c r="D6816" i="1"/>
  <c r="D6809" i="1"/>
  <c r="D6808" i="1"/>
  <c r="D6807" i="1"/>
  <c r="D6803" i="1"/>
  <c r="D6796" i="1"/>
  <c r="D6789" i="1"/>
  <c r="D6765" i="1"/>
  <c r="D6740" i="1"/>
  <c r="D6728" i="1"/>
  <c r="D6725" i="1"/>
  <c r="D6723" i="1"/>
  <c r="D6717" i="1"/>
  <c r="D6711" i="1"/>
  <c r="D6710" i="1"/>
  <c r="D6669" i="1"/>
  <c r="D6665" i="1"/>
  <c r="D6660" i="1"/>
  <c r="D6654" i="1"/>
  <c r="D6652" i="1"/>
  <c r="D6635" i="1"/>
  <c r="D6630" i="1"/>
  <c r="D6618" i="1"/>
  <c r="D6604" i="1"/>
  <c r="D6596" i="1"/>
  <c r="D6588" i="1"/>
  <c r="D6587" i="1"/>
  <c r="D6578" i="1"/>
  <c r="D6577" i="1"/>
  <c r="D6574" i="1"/>
  <c r="D6551" i="1"/>
  <c r="D6526" i="1"/>
  <c r="D6522" i="1"/>
  <c r="D6521" i="1"/>
  <c r="D6512" i="1"/>
  <c r="D6511" i="1"/>
  <c r="D6505" i="1"/>
  <c r="D6498" i="1"/>
  <c r="D6489" i="1"/>
  <c r="D6480" i="1"/>
  <c r="D6479" i="1"/>
  <c r="D6478" i="1"/>
  <c r="D6452" i="1"/>
  <c r="D6445" i="1"/>
  <c r="D6428" i="1"/>
  <c r="D6408" i="1"/>
  <c r="D6385" i="1"/>
  <c r="D6355" i="1"/>
  <c r="D6329" i="1"/>
  <c r="D6327" i="1"/>
  <c r="D6326" i="1"/>
  <c r="D6306" i="1"/>
  <c r="D6299" i="1"/>
  <c r="D6293" i="1"/>
  <c r="D6288" i="1"/>
  <c r="D6286" i="1"/>
  <c r="D6262" i="1"/>
  <c r="D6260" i="1"/>
  <c r="D6254" i="1"/>
  <c r="D6238" i="1"/>
  <c r="D6237" i="1"/>
  <c r="D6234" i="1"/>
  <c r="D6211" i="1"/>
  <c r="D6202" i="1"/>
  <c r="D6199" i="1"/>
  <c r="D6188" i="1"/>
  <c r="D6186" i="1"/>
  <c r="D6181" i="1"/>
  <c r="D6172" i="1"/>
  <c r="D6164" i="1"/>
  <c r="D6159" i="1"/>
  <c r="D6154" i="1"/>
  <c r="D6149" i="1"/>
  <c r="D6127" i="1"/>
  <c r="D6124" i="1"/>
  <c r="D6116" i="1"/>
  <c r="D6112" i="1"/>
  <c r="D6107" i="1"/>
  <c r="D6102" i="1"/>
  <c r="D6098" i="1"/>
  <c r="D6096" i="1"/>
  <c r="D6092" i="1"/>
  <c r="D6070" i="1"/>
  <c r="D6064" i="1"/>
  <c r="D6042" i="1"/>
  <c r="D6040" i="1"/>
  <c r="D6019" i="1"/>
  <c r="D6011" i="1"/>
  <c r="D6002" i="1"/>
  <c r="D6001" i="1"/>
  <c r="D6000" i="1"/>
  <c r="D5981" i="1"/>
  <c r="D5958" i="1"/>
  <c r="D5945" i="1"/>
  <c r="D5939" i="1"/>
  <c r="D5923" i="1"/>
  <c r="D5917" i="1"/>
  <c r="D5916" i="1"/>
  <c r="D5905" i="1"/>
  <c r="D5903" i="1"/>
  <c r="D5898" i="1"/>
  <c r="D5896" i="1"/>
  <c r="D5882" i="1"/>
  <c r="D5849" i="1"/>
  <c r="D5838" i="1"/>
  <c r="D5837" i="1"/>
  <c r="D5798" i="1"/>
  <c r="D5786" i="1"/>
  <c r="D5762" i="1"/>
  <c r="D5759" i="1"/>
  <c r="D5754" i="1"/>
  <c r="D5736" i="1"/>
  <c r="D5715" i="1"/>
  <c r="D5709" i="1"/>
  <c r="D5705" i="1"/>
  <c r="D5690" i="1"/>
  <c r="D5682" i="1"/>
  <c r="D5680" i="1"/>
  <c r="D5675" i="1"/>
  <c r="D5663" i="1"/>
  <c r="D5662" i="1"/>
  <c r="D5656" i="1"/>
  <c r="D5653" i="1"/>
  <c r="D5629" i="1"/>
  <c r="D5614" i="1"/>
  <c r="D5613" i="1"/>
  <c r="D5611" i="1"/>
  <c r="D5602" i="1"/>
  <c r="D5591" i="1"/>
  <c r="D5590" i="1"/>
  <c r="D5589" i="1"/>
  <c r="D5588" i="1"/>
  <c r="D5587" i="1"/>
  <c r="D5584" i="1"/>
  <c r="D5583" i="1"/>
  <c r="D5579" i="1"/>
  <c r="D5574" i="1"/>
  <c r="D5572" i="1"/>
  <c r="D5570" i="1"/>
  <c r="D5556" i="1"/>
  <c r="D5555" i="1"/>
  <c r="D5552" i="1"/>
  <c r="D5549" i="1"/>
  <c r="D5524" i="1"/>
  <c r="D5506" i="1"/>
  <c r="D5496" i="1"/>
  <c r="D5474" i="1"/>
  <c r="D5459" i="1"/>
  <c r="D5444" i="1"/>
  <c r="D5431" i="1"/>
  <c r="D5428" i="1"/>
  <c r="D5420" i="1"/>
  <c r="D5418" i="1"/>
  <c r="D5416" i="1"/>
  <c r="D5402" i="1"/>
  <c r="D5379" i="1"/>
  <c r="D5375" i="1"/>
  <c r="D5371" i="1"/>
  <c r="D5370" i="1"/>
  <c r="D5364" i="1"/>
  <c r="D5356" i="1"/>
  <c r="D5355" i="1"/>
  <c r="D5353" i="1"/>
  <c r="D5351" i="1"/>
  <c r="D5338" i="1"/>
  <c r="D5336" i="1"/>
  <c r="D5335" i="1"/>
  <c r="D5306" i="1"/>
  <c r="D5277" i="1"/>
  <c r="D5276" i="1"/>
  <c r="D5272" i="1"/>
  <c r="D5268" i="1"/>
  <c r="D5266" i="1"/>
  <c r="D5265" i="1"/>
  <c r="D5262" i="1"/>
  <c r="D5261" i="1"/>
  <c r="D5259" i="1"/>
  <c r="D5258" i="1"/>
  <c r="D5257" i="1"/>
  <c r="D5256" i="1"/>
  <c r="D5255" i="1"/>
  <c r="D5254" i="1"/>
  <c r="D5252" i="1"/>
  <c r="D5248" i="1"/>
  <c r="D5240" i="1"/>
  <c r="D5236" i="1"/>
  <c r="D5228" i="1"/>
  <c r="D5226" i="1"/>
  <c r="D5223" i="1"/>
  <c r="D5222" i="1"/>
  <c r="D5218" i="1"/>
  <c r="D5217" i="1"/>
  <c r="D5216" i="1"/>
  <c r="D5206" i="1"/>
  <c r="D5205" i="1"/>
  <c r="D5204" i="1"/>
  <c r="D5202" i="1"/>
  <c r="D5199" i="1"/>
  <c r="D5198" i="1"/>
  <c r="D5187" i="1"/>
  <c r="D5166" i="1"/>
  <c r="D5142" i="1"/>
  <c r="D5137" i="1"/>
  <c r="D5127" i="1"/>
  <c r="D5123" i="1"/>
  <c r="D5120" i="1"/>
  <c r="D5118" i="1"/>
  <c r="D5115" i="1"/>
  <c r="D5112" i="1"/>
  <c r="D5102" i="1"/>
  <c r="D5062" i="1"/>
  <c r="D5056" i="1"/>
  <c r="D5055" i="1"/>
  <c r="D5054" i="1"/>
  <c r="D5043" i="1"/>
  <c r="D5040" i="1"/>
  <c r="D5039" i="1"/>
  <c r="D5037" i="1"/>
  <c r="D5034" i="1"/>
  <c r="D5029" i="1"/>
  <c r="D5028" i="1"/>
  <c r="D5026" i="1"/>
  <c r="D5020" i="1"/>
  <c r="D5019" i="1"/>
  <c r="D5015" i="1"/>
  <c r="D5012" i="1"/>
  <c r="D5008" i="1"/>
  <c r="D4998" i="1"/>
  <c r="D4992" i="1"/>
  <c r="D4991" i="1"/>
  <c r="D4986" i="1"/>
  <c r="D4978" i="1"/>
  <c r="D4975" i="1"/>
  <c r="D4956" i="1"/>
  <c r="D4955" i="1"/>
  <c r="D4952" i="1"/>
  <c r="D4948" i="1"/>
  <c r="D4943" i="1"/>
  <c r="D4934" i="1"/>
  <c r="D4929" i="1"/>
  <c r="D4926" i="1"/>
  <c r="D4915" i="1"/>
  <c r="D4910" i="1"/>
  <c r="D4907" i="1"/>
  <c r="D4906" i="1"/>
  <c r="D4904" i="1"/>
  <c r="D4901" i="1"/>
  <c r="D4899" i="1"/>
  <c r="D4877" i="1"/>
  <c r="D4876" i="1"/>
  <c r="D4874" i="1"/>
  <c r="D4872" i="1"/>
  <c r="D4868" i="1"/>
  <c r="D4860" i="1"/>
  <c r="D4857" i="1"/>
  <c r="D4840" i="1"/>
  <c r="D4831" i="1"/>
  <c r="D4819" i="1"/>
  <c r="D4816" i="1"/>
  <c r="D4813" i="1"/>
  <c r="D4811" i="1"/>
  <c r="D4809" i="1"/>
  <c r="D4808" i="1"/>
  <c r="D4804" i="1"/>
  <c r="D4803" i="1"/>
  <c r="D4794" i="1"/>
  <c r="D4793" i="1"/>
  <c r="D4790" i="1"/>
  <c r="D4786" i="1"/>
  <c r="D4785" i="1"/>
  <c r="D4782" i="1"/>
  <c r="D4778" i="1"/>
  <c r="D4772" i="1"/>
  <c r="D4770" i="1"/>
  <c r="D4763" i="1"/>
  <c r="D4747" i="1"/>
  <c r="D4746" i="1"/>
  <c r="D4735" i="1"/>
  <c r="D4734" i="1"/>
  <c r="D4733" i="1"/>
  <c r="D4729" i="1"/>
  <c r="D4727" i="1"/>
  <c r="D4723" i="1"/>
  <c r="D4722" i="1"/>
  <c r="D4721" i="1"/>
  <c r="D4719" i="1"/>
  <c r="D4717" i="1"/>
  <c r="D4716" i="1"/>
  <c r="D4713" i="1"/>
  <c r="D4708" i="1"/>
  <c r="D4707" i="1"/>
  <c r="D4705" i="1"/>
  <c r="D4703" i="1"/>
  <c r="D4701" i="1"/>
  <c r="D4699" i="1"/>
  <c r="D4697" i="1"/>
  <c r="D4695" i="1"/>
  <c r="D4692" i="1"/>
  <c r="D4689" i="1"/>
  <c r="D4688" i="1"/>
  <c r="D4685" i="1"/>
  <c r="D4682" i="1"/>
  <c r="D4679" i="1"/>
  <c r="D4678" i="1"/>
  <c r="D4673" i="1"/>
  <c r="D4662" i="1"/>
  <c r="D4649" i="1"/>
  <c r="D4648" i="1"/>
  <c r="D4643" i="1"/>
  <c r="D4641" i="1"/>
  <c r="D4640" i="1"/>
  <c r="D4639" i="1"/>
  <c r="D4636" i="1"/>
  <c r="D4628" i="1"/>
  <c r="D4627" i="1"/>
  <c r="D4615" i="1"/>
  <c r="D4614" i="1"/>
  <c r="D4613" i="1"/>
  <c r="D4608" i="1"/>
  <c r="D4606" i="1"/>
  <c r="D4598" i="1"/>
  <c r="D4594" i="1"/>
  <c r="D4592" i="1"/>
  <c r="D4587" i="1"/>
  <c r="D4585" i="1"/>
  <c r="D4582" i="1"/>
  <c r="D4581" i="1"/>
  <c r="D4574" i="1"/>
  <c r="D4573" i="1"/>
  <c r="D4569" i="1"/>
  <c r="D4568" i="1"/>
  <c r="D4565" i="1"/>
  <c r="D4561" i="1"/>
  <c r="D4555" i="1"/>
  <c r="D4549" i="1"/>
  <c r="D4546" i="1"/>
  <c r="D4544" i="1"/>
  <c r="D4543" i="1"/>
  <c r="D4541" i="1"/>
  <c r="D4539" i="1"/>
  <c r="D4536" i="1"/>
  <c r="D4535" i="1"/>
  <c r="D4533" i="1"/>
  <c r="D4526" i="1"/>
  <c r="D4525" i="1"/>
  <c r="D4516" i="1"/>
  <c r="D4512" i="1"/>
  <c r="D4511" i="1"/>
  <c r="D4503" i="1"/>
  <c r="D4502" i="1"/>
  <c r="D4499" i="1"/>
  <c r="D4494" i="1"/>
  <c r="D4492" i="1"/>
  <c r="D4487" i="1"/>
  <c r="D4474" i="1"/>
  <c r="D4470" i="1"/>
  <c r="D4466" i="1"/>
  <c r="D4461" i="1"/>
  <c r="D4460" i="1"/>
  <c r="D4449" i="1"/>
  <c r="D4448" i="1"/>
  <c r="D4445" i="1"/>
  <c r="D4441" i="1"/>
  <c r="D4440" i="1"/>
  <c r="D4439" i="1"/>
  <c r="D4436" i="1"/>
  <c r="D4433" i="1"/>
  <c r="D4432" i="1"/>
  <c r="D4427" i="1"/>
  <c r="D4420" i="1"/>
  <c r="D4418" i="1"/>
  <c r="D4416" i="1"/>
  <c r="D4415" i="1"/>
  <c r="D4414" i="1"/>
  <c r="D4412" i="1"/>
  <c r="D4410" i="1"/>
  <c r="D4407" i="1"/>
  <c r="D4403" i="1"/>
  <c r="D4401" i="1"/>
  <c r="D4400" i="1"/>
  <c r="D4389" i="1"/>
  <c r="D4387" i="1"/>
  <c r="D4386" i="1"/>
  <c r="D4385" i="1"/>
  <c r="D4384" i="1"/>
  <c r="D4383" i="1"/>
  <c r="D4379" i="1"/>
  <c r="D4367" i="1"/>
  <c r="D4365" i="1"/>
  <c r="D4363" i="1"/>
  <c r="D4362" i="1"/>
  <c r="D4360" i="1"/>
  <c r="D4358" i="1"/>
  <c r="D4349" i="1"/>
  <c r="D4348" i="1"/>
  <c r="D4347" i="1"/>
  <c r="D4342" i="1"/>
  <c r="D4337" i="1"/>
  <c r="D4336" i="1"/>
  <c r="D4334" i="1"/>
  <c r="D4330" i="1"/>
  <c r="D4329" i="1"/>
  <c r="D4328" i="1"/>
  <c r="D4325" i="1"/>
  <c r="D4323" i="1"/>
  <c r="D4317" i="1"/>
  <c r="D4316" i="1"/>
  <c r="D4314" i="1"/>
  <c r="D4312" i="1"/>
  <c r="D4308" i="1"/>
  <c r="D4305" i="1"/>
  <c r="D4298" i="1"/>
  <c r="D4296" i="1"/>
  <c r="D4295" i="1"/>
  <c r="D4294" i="1"/>
  <c r="D4291" i="1"/>
  <c r="D4287" i="1"/>
  <c r="D4284" i="1"/>
  <c r="D4283" i="1"/>
  <c r="D4272" i="1"/>
  <c r="D4271" i="1"/>
  <c r="D4270" i="1"/>
  <c r="D4268" i="1"/>
  <c r="D4266" i="1"/>
  <c r="D4264" i="1"/>
  <c r="D4262" i="1"/>
  <c r="D4261" i="1"/>
  <c r="D4258" i="1"/>
  <c r="D4256" i="1"/>
  <c r="D4251" i="1"/>
  <c r="D4242" i="1"/>
  <c r="D4240" i="1"/>
  <c r="D4235" i="1"/>
  <c r="D4234" i="1"/>
  <c r="D4233" i="1"/>
  <c r="D4232" i="1"/>
  <c r="D4218" i="1"/>
  <c r="D4217" i="1"/>
  <c r="D4216" i="1"/>
  <c r="D4208" i="1"/>
  <c r="D4205" i="1"/>
  <c r="D4203" i="1"/>
  <c r="D4202" i="1"/>
  <c r="D4194" i="1"/>
  <c r="D4189" i="1"/>
  <c r="D4182" i="1"/>
  <c r="D4178" i="1"/>
  <c r="D4176" i="1"/>
  <c r="D4173" i="1"/>
  <c r="D4168" i="1"/>
  <c r="D4167" i="1"/>
  <c r="D4160" i="1"/>
  <c r="D4158" i="1"/>
  <c r="D4157" i="1"/>
  <c r="D4154" i="1"/>
  <c r="D4153" i="1"/>
  <c r="D4152" i="1"/>
  <c r="D4147" i="1"/>
  <c r="D4146" i="1"/>
  <c r="D4141" i="1"/>
  <c r="D4140" i="1"/>
  <c r="D4138" i="1"/>
  <c r="D4133" i="1"/>
  <c r="D4124" i="1"/>
  <c r="D4122" i="1"/>
  <c r="D4118" i="1"/>
  <c r="D4116" i="1"/>
  <c r="D4112" i="1"/>
  <c r="D4106" i="1"/>
  <c r="D4105" i="1"/>
  <c r="D4104" i="1"/>
  <c r="D4102" i="1"/>
  <c r="D4100" i="1"/>
  <c r="D4092" i="1"/>
  <c r="D4091" i="1"/>
  <c r="D4090" i="1"/>
  <c r="D4084" i="1"/>
  <c r="D4081" i="1"/>
  <c r="D4078" i="1"/>
  <c r="D4074" i="1"/>
  <c r="D4073" i="1"/>
  <c r="D4071" i="1"/>
  <c r="D4070" i="1"/>
  <c r="D4069" i="1"/>
  <c r="D4065" i="1"/>
  <c r="D4063" i="1"/>
  <c r="D4059" i="1"/>
  <c r="D4055" i="1"/>
  <c r="D4049" i="1"/>
  <c r="D4044" i="1"/>
  <c r="D4038" i="1"/>
  <c r="D4027" i="1"/>
  <c r="D4023" i="1"/>
  <c r="D4018" i="1"/>
  <c r="D4012" i="1"/>
  <c r="D4009" i="1"/>
  <c r="D4005" i="1"/>
  <c r="D4001" i="1"/>
  <c r="D3999" i="1"/>
  <c r="D3992" i="1"/>
  <c r="D3986" i="1"/>
  <c r="D3985" i="1"/>
  <c r="D3983" i="1"/>
  <c r="D3980" i="1"/>
  <c r="D3979" i="1"/>
  <c r="D3976" i="1"/>
  <c r="D3974" i="1"/>
  <c r="D3955" i="1"/>
  <c r="D3954" i="1"/>
  <c r="D3947" i="1"/>
  <c r="D3936" i="1"/>
  <c r="D3933" i="1"/>
  <c r="D3926" i="1"/>
  <c r="D3895" i="1"/>
  <c r="D3894" i="1"/>
  <c r="D3871" i="1"/>
  <c r="D3845" i="1"/>
  <c r="D3842" i="1"/>
  <c r="D3838" i="1"/>
  <c r="D3837" i="1"/>
  <c r="D3822" i="1"/>
  <c r="D3821" i="1"/>
  <c r="D3807" i="1"/>
  <c r="D3801" i="1"/>
  <c r="D3796" i="1"/>
  <c r="D3794" i="1"/>
  <c r="D3792" i="1"/>
  <c r="D3791" i="1"/>
  <c r="D3786" i="1"/>
  <c r="D3784" i="1"/>
  <c r="D3783" i="1"/>
  <c r="D3776" i="1"/>
  <c r="D3775" i="1"/>
  <c r="D3773" i="1"/>
  <c r="D3769" i="1"/>
  <c r="D3764" i="1"/>
  <c r="D3763" i="1"/>
  <c r="D3762" i="1"/>
  <c r="D3761" i="1"/>
  <c r="D3758" i="1"/>
  <c r="D3757" i="1"/>
  <c r="D3755" i="1"/>
  <c r="D3754" i="1"/>
  <c r="D3749" i="1"/>
  <c r="D3748" i="1"/>
  <c r="D3746" i="1"/>
  <c r="D3745" i="1"/>
  <c r="D3741" i="1"/>
  <c r="D3740" i="1"/>
  <c r="D3735" i="1"/>
  <c r="D3734" i="1"/>
  <c r="D3732" i="1"/>
  <c r="D3731" i="1"/>
  <c r="D3724" i="1"/>
  <c r="D3723" i="1"/>
  <c r="D3720" i="1"/>
  <c r="D3717" i="1"/>
  <c r="D3716" i="1"/>
  <c r="D3709" i="1"/>
  <c r="D3707" i="1"/>
  <c r="D3695" i="1"/>
  <c r="D3693" i="1"/>
  <c r="D3671" i="1"/>
  <c r="D3669" i="1"/>
  <c r="D3668" i="1"/>
  <c r="D3667" i="1"/>
  <c r="D3665" i="1"/>
  <c r="D3664" i="1"/>
  <c r="D3662" i="1"/>
  <c r="D3656" i="1"/>
  <c r="D3646" i="1"/>
  <c r="D3645" i="1"/>
  <c r="D3620" i="1"/>
  <c r="D3619" i="1"/>
  <c r="D3618" i="1"/>
  <c r="D3609" i="1"/>
  <c r="D3606" i="1"/>
  <c r="D3597" i="1"/>
  <c r="D3588" i="1"/>
  <c r="D3587" i="1"/>
  <c r="D3586" i="1"/>
  <c r="D3583" i="1"/>
  <c r="D3572" i="1"/>
  <c r="D3568" i="1"/>
  <c r="D3564" i="1"/>
  <c r="D3562" i="1"/>
  <c r="D3560" i="1"/>
  <c r="D3559" i="1"/>
  <c r="D3558" i="1"/>
  <c r="D3552" i="1"/>
  <c r="D3545" i="1"/>
  <c r="D3540" i="1"/>
  <c r="D3539" i="1"/>
  <c r="D3535" i="1"/>
  <c r="D3532" i="1"/>
  <c r="D3530" i="1"/>
  <c r="D3524" i="1"/>
  <c r="D3520" i="1"/>
  <c r="D3515" i="1"/>
  <c r="D3512" i="1"/>
  <c r="D3510" i="1"/>
  <c r="D3507" i="1"/>
  <c r="D3504" i="1"/>
  <c r="D3503" i="1"/>
  <c r="D3502" i="1"/>
  <c r="D3500" i="1"/>
  <c r="D3497" i="1"/>
  <c r="D3494" i="1"/>
  <c r="D3493" i="1"/>
  <c r="D3492" i="1"/>
  <c r="D3489" i="1"/>
  <c r="D3484" i="1"/>
  <c r="D3480" i="1"/>
  <c r="D3475" i="1"/>
  <c r="D3472" i="1"/>
  <c r="D3460" i="1"/>
  <c r="D3455" i="1"/>
  <c r="D3453" i="1"/>
  <c r="D3448" i="1"/>
  <c r="D3441" i="1"/>
  <c r="D3432" i="1"/>
  <c r="D3431" i="1"/>
  <c r="D3429" i="1"/>
  <c r="D3425" i="1"/>
  <c r="D3417" i="1"/>
  <c r="D3414" i="1"/>
  <c r="D3413" i="1"/>
  <c r="D3412" i="1"/>
  <c r="D3409" i="1"/>
  <c r="D3405" i="1"/>
  <c r="D3404" i="1"/>
  <c r="D3402" i="1"/>
  <c r="D3392" i="1"/>
  <c r="D3388" i="1"/>
  <c r="D3386" i="1"/>
  <c r="D3385" i="1"/>
  <c r="D3381" i="1"/>
  <c r="D3378" i="1"/>
  <c r="D3377" i="1"/>
  <c r="D3375" i="1"/>
  <c r="D3374" i="1"/>
  <c r="D3373" i="1"/>
  <c r="D3365" i="1"/>
  <c r="D3364" i="1"/>
  <c r="D3341" i="1"/>
  <c r="D3338" i="1"/>
  <c r="D3329" i="1"/>
  <c r="D3327" i="1"/>
  <c r="D3325" i="1"/>
  <c r="D3324" i="1"/>
  <c r="D3320" i="1"/>
  <c r="D3319" i="1"/>
  <c r="D3318" i="1"/>
  <c r="D3314" i="1"/>
  <c r="D3304" i="1"/>
  <c r="D3302" i="1"/>
  <c r="D3295" i="1"/>
  <c r="D3294" i="1"/>
  <c r="D3292" i="1"/>
  <c r="D3291" i="1"/>
  <c r="D3288" i="1"/>
  <c r="D3286" i="1"/>
  <c r="D3276" i="1"/>
  <c r="D3274" i="1"/>
  <c r="D3273" i="1"/>
  <c r="D3272" i="1"/>
  <c r="D3268" i="1"/>
  <c r="D3254" i="1"/>
  <c r="D3251" i="1"/>
  <c r="D3250" i="1"/>
  <c r="D3241" i="1"/>
  <c r="D3234" i="1"/>
  <c r="D3232" i="1"/>
  <c r="D3230" i="1"/>
  <c r="D3228" i="1"/>
  <c r="D3227" i="1"/>
  <c r="D3223" i="1"/>
  <c r="D3222" i="1"/>
  <c r="D3219" i="1"/>
  <c r="D3217" i="1"/>
  <c r="D3213" i="1"/>
  <c r="D3202" i="1"/>
  <c r="D3197" i="1"/>
  <c r="D3192" i="1"/>
  <c r="D3191" i="1"/>
  <c r="D3189" i="1"/>
  <c r="D3187" i="1"/>
  <c r="D3179" i="1"/>
  <c r="D3177" i="1"/>
  <c r="D3176" i="1"/>
  <c r="D3175" i="1"/>
  <c r="D3173" i="1"/>
  <c r="D3171" i="1"/>
  <c r="D3168" i="1"/>
  <c r="D3151" i="1"/>
  <c r="D3150" i="1"/>
  <c r="D3148" i="1"/>
  <c r="D3146" i="1"/>
  <c r="D3145" i="1"/>
  <c r="D3144" i="1"/>
  <c r="D3141" i="1"/>
  <c r="D3137" i="1"/>
  <c r="D3136" i="1"/>
  <c r="D3129" i="1"/>
  <c r="D3126" i="1"/>
  <c r="D3125" i="1"/>
  <c r="D3124" i="1"/>
  <c r="D3118" i="1"/>
  <c r="D3116" i="1"/>
  <c r="D3115" i="1"/>
  <c r="D3112" i="1"/>
  <c r="D3111" i="1"/>
  <c r="D3109" i="1"/>
  <c r="D3107" i="1"/>
  <c r="D3101" i="1"/>
  <c r="D3100" i="1"/>
  <c r="D3098" i="1"/>
  <c r="D3096" i="1"/>
  <c r="D3094" i="1"/>
  <c r="D3083" i="1"/>
  <c r="D3079" i="1"/>
  <c r="D3074" i="1"/>
  <c r="D3064" i="1"/>
  <c r="D3063" i="1"/>
  <c r="D3060" i="1"/>
  <c r="D3059" i="1"/>
  <c r="D3055" i="1"/>
  <c r="D3054" i="1"/>
  <c r="D3053" i="1"/>
  <c r="D3047" i="1"/>
  <c r="D3042" i="1"/>
  <c r="D3041" i="1"/>
  <c r="D3034" i="1"/>
  <c r="D3025" i="1"/>
  <c r="D3021" i="1"/>
  <c r="D3018" i="1"/>
  <c r="D3014" i="1"/>
  <c r="D3012" i="1"/>
  <c r="D3009" i="1"/>
  <c r="D3006" i="1"/>
  <c r="D3003" i="1"/>
  <c r="D2998" i="1"/>
  <c r="D2997" i="1"/>
  <c r="D2993" i="1"/>
  <c r="D2988" i="1"/>
  <c r="D2987" i="1"/>
  <c r="D2986" i="1"/>
  <c r="D2985" i="1"/>
  <c r="D2979" i="1"/>
  <c r="D2977" i="1"/>
  <c r="D2974" i="1"/>
  <c r="D2968" i="1"/>
  <c r="D2965" i="1"/>
  <c r="D2963" i="1"/>
  <c r="D2961" i="1"/>
  <c r="D2950" i="1"/>
  <c r="D2949" i="1"/>
  <c r="D2942" i="1"/>
  <c r="D2938" i="1"/>
  <c r="D2935" i="1"/>
  <c r="D2931" i="1"/>
  <c r="D2930" i="1"/>
  <c r="D2929" i="1"/>
  <c r="D2924" i="1"/>
  <c r="D2922" i="1"/>
  <c r="D2920" i="1"/>
  <c r="D2918" i="1"/>
  <c r="D2901" i="1"/>
  <c r="D2899" i="1"/>
  <c r="D2898" i="1"/>
  <c r="D2897" i="1"/>
  <c r="D2894" i="1"/>
  <c r="D2892" i="1"/>
  <c r="D2891" i="1"/>
  <c r="D2889" i="1"/>
  <c r="D2881" i="1"/>
  <c r="D2871" i="1"/>
  <c r="D2870" i="1"/>
  <c r="D2869" i="1"/>
  <c r="D2861" i="1"/>
  <c r="D2843" i="1"/>
  <c r="D2838" i="1"/>
  <c r="D2837" i="1"/>
  <c r="D2836" i="1"/>
  <c r="D2828" i="1"/>
  <c r="D2826" i="1"/>
  <c r="D2820" i="1"/>
  <c r="D2816" i="1"/>
  <c r="D2809" i="1"/>
  <c r="D2807" i="1"/>
  <c r="D2803" i="1"/>
  <c r="D2802" i="1"/>
  <c r="D2801" i="1"/>
  <c r="D2800" i="1"/>
  <c r="D2796" i="1"/>
  <c r="D2795" i="1"/>
  <c r="D2792" i="1"/>
  <c r="D2790" i="1"/>
  <c r="D2785" i="1"/>
  <c r="D2783" i="1"/>
  <c r="D2776" i="1"/>
  <c r="D2772" i="1"/>
  <c r="D2771" i="1"/>
  <c r="D2770" i="1"/>
  <c r="D2768" i="1"/>
  <c r="D2759" i="1"/>
  <c r="D2752" i="1"/>
  <c r="D2740" i="1"/>
  <c r="D2738" i="1"/>
  <c r="D2727" i="1"/>
  <c r="D2724" i="1"/>
  <c r="D2710" i="1"/>
  <c r="D2707" i="1"/>
  <c r="D2706" i="1"/>
  <c r="D2704" i="1"/>
  <c r="D2702" i="1"/>
  <c r="D2690" i="1"/>
  <c r="D2684" i="1"/>
  <c r="D2672" i="1"/>
  <c r="D2647" i="1"/>
  <c r="D2627" i="1"/>
  <c r="D2625" i="1"/>
  <c r="D2624" i="1"/>
  <c r="D2623" i="1"/>
  <c r="D2618" i="1"/>
  <c r="D2616" i="1"/>
  <c r="D2610" i="1"/>
  <c r="D2607" i="1"/>
  <c r="D2606" i="1"/>
  <c r="D2605" i="1"/>
  <c r="D2603" i="1"/>
  <c r="D2602" i="1"/>
  <c r="D2600" i="1"/>
  <c r="D2599" i="1"/>
  <c r="D2597" i="1"/>
  <c r="D2592" i="1"/>
  <c r="D2590" i="1"/>
  <c r="D2589" i="1"/>
  <c r="D2588" i="1"/>
  <c r="D2586" i="1"/>
  <c r="D2581" i="1"/>
  <c r="D2571" i="1"/>
  <c r="D2569" i="1"/>
  <c r="D2560" i="1"/>
  <c r="D2559" i="1"/>
  <c r="D2558" i="1"/>
  <c r="D2556" i="1"/>
  <c r="D2553" i="1"/>
  <c r="D2550" i="1"/>
  <c r="D2549" i="1"/>
  <c r="D2547" i="1"/>
  <c r="D2546" i="1"/>
  <c r="D2544" i="1"/>
  <c r="D2543" i="1"/>
  <c r="D2540" i="1"/>
  <c r="D2538" i="1"/>
  <c r="D2537" i="1"/>
  <c r="D2536" i="1"/>
  <c r="D2535" i="1"/>
  <c r="D2529" i="1"/>
  <c r="D2524" i="1"/>
  <c r="D2516" i="1"/>
  <c r="D2514" i="1"/>
  <c r="D2513" i="1"/>
  <c r="D2508" i="1"/>
  <c r="D2507" i="1"/>
  <c r="D2496" i="1"/>
  <c r="D2492" i="1"/>
  <c r="D2488" i="1"/>
  <c r="D2486" i="1"/>
  <c r="D2484" i="1"/>
  <c r="D2481" i="1"/>
  <c r="D2480" i="1"/>
  <c r="D2476" i="1"/>
  <c r="D2460" i="1"/>
  <c r="D2446" i="1"/>
  <c r="D2433" i="1"/>
  <c r="D2431" i="1"/>
  <c r="D2427" i="1"/>
  <c r="D2426" i="1"/>
  <c r="D2424" i="1"/>
  <c r="D2412" i="1"/>
  <c r="D2385" i="1"/>
  <c r="D2380" i="1"/>
  <c r="D2378" i="1"/>
  <c r="D2377" i="1"/>
  <c r="D2376" i="1"/>
  <c r="D2375" i="1"/>
  <c r="D2374" i="1"/>
  <c r="D2373" i="1"/>
  <c r="D2372" i="1"/>
  <c r="D2371" i="1"/>
  <c r="D2369" i="1"/>
  <c r="D2368" i="1"/>
  <c r="D2366" i="1"/>
  <c r="D2365" i="1"/>
  <c r="D2364" i="1"/>
  <c r="D2363" i="1"/>
  <c r="D2361" i="1"/>
  <c r="D2355" i="1"/>
  <c r="D2328" i="1"/>
  <c r="D2327" i="1"/>
  <c r="D2325" i="1"/>
  <c r="D2324" i="1"/>
  <c r="D2323" i="1"/>
  <c r="D2322" i="1"/>
  <c r="D2321" i="1"/>
  <c r="D2312" i="1"/>
  <c r="D2311" i="1"/>
  <c r="D2304" i="1"/>
  <c r="D2301" i="1"/>
  <c r="D2297" i="1"/>
  <c r="D2296" i="1"/>
  <c r="D2294" i="1"/>
  <c r="D2292" i="1"/>
  <c r="D2291" i="1"/>
  <c r="D2284" i="1"/>
  <c r="D2282" i="1"/>
  <c r="D2281" i="1"/>
  <c r="D2280" i="1"/>
  <c r="D2268" i="1"/>
  <c r="D2263" i="1"/>
  <c r="D2256" i="1"/>
  <c r="D2255" i="1"/>
  <c r="D2253" i="1"/>
  <c r="D2249" i="1"/>
  <c r="D2246" i="1"/>
  <c r="D2245" i="1"/>
  <c r="D2240" i="1"/>
  <c r="D2233" i="1"/>
  <c r="D2231" i="1"/>
  <c r="D2228" i="1"/>
  <c r="D2227" i="1"/>
  <c r="D2225" i="1"/>
  <c r="D2224" i="1"/>
  <c r="D2222" i="1"/>
  <c r="D2221" i="1"/>
  <c r="D2220" i="1"/>
  <c r="D2215" i="1"/>
  <c r="D2214" i="1"/>
  <c r="D2208" i="1"/>
  <c r="D2205" i="1"/>
  <c r="D2201" i="1"/>
  <c r="D2181" i="1"/>
  <c r="D2168" i="1"/>
  <c r="D2160" i="1"/>
  <c r="D2159" i="1"/>
  <c r="D2158" i="1"/>
  <c r="D2147" i="1"/>
  <c r="D2142" i="1"/>
  <c r="D2138" i="1"/>
  <c r="D2134" i="1"/>
  <c r="D2126" i="1"/>
  <c r="D2125" i="1"/>
  <c r="D2123" i="1"/>
  <c r="D2119" i="1"/>
  <c r="D2117" i="1"/>
  <c r="D2114" i="1"/>
  <c r="D2102" i="1"/>
  <c r="D2101" i="1"/>
  <c r="D2085" i="1"/>
  <c r="D2083" i="1"/>
  <c r="D2081" i="1"/>
  <c r="D2073" i="1"/>
  <c r="D2071" i="1"/>
  <c r="D2068" i="1"/>
  <c r="D2066" i="1"/>
  <c r="D2061" i="1"/>
  <c r="D2051" i="1"/>
  <c r="D2050" i="1"/>
  <c r="D2049" i="1"/>
  <c r="D2032" i="1"/>
  <c r="D2025" i="1"/>
  <c r="D2024" i="1"/>
  <c r="D2021" i="1"/>
  <c r="D2020" i="1"/>
  <c r="D2019" i="1"/>
  <c r="D2007" i="1"/>
  <c r="D2006" i="1"/>
  <c r="D2005" i="1"/>
  <c r="D2004" i="1"/>
  <c r="D2001" i="1"/>
  <c r="D1997" i="1"/>
  <c r="D1991" i="1"/>
  <c r="D1983" i="1"/>
  <c r="D1979" i="1"/>
  <c r="D1978" i="1"/>
  <c r="D1974" i="1"/>
  <c r="D1971" i="1"/>
  <c r="D1968" i="1"/>
  <c r="D1963" i="1"/>
  <c r="D1961" i="1"/>
  <c r="D1958" i="1"/>
  <c r="D1956" i="1"/>
  <c r="D1950" i="1"/>
  <c r="D1935" i="1"/>
  <c r="D1933" i="1"/>
  <c r="D1928" i="1"/>
  <c r="D1921" i="1"/>
  <c r="D1915" i="1"/>
  <c r="D1914" i="1"/>
  <c r="D1913" i="1"/>
  <c r="D1912" i="1"/>
  <c r="D1909" i="1"/>
  <c r="D1894" i="1"/>
  <c r="D1893" i="1"/>
  <c r="D1890" i="1"/>
  <c r="D1889" i="1"/>
  <c r="D1888" i="1"/>
  <c r="D1884" i="1"/>
  <c r="D1880" i="1"/>
  <c r="D1875" i="1"/>
  <c r="D1870" i="1"/>
  <c r="D1863" i="1"/>
  <c r="D1862" i="1"/>
  <c r="D1860" i="1"/>
  <c r="D1841" i="1"/>
  <c r="D1838" i="1"/>
  <c r="D1831" i="1"/>
  <c r="D1829" i="1"/>
  <c r="D1812" i="1"/>
  <c r="D1803" i="1"/>
  <c r="D1800" i="1"/>
  <c r="D1791" i="1"/>
  <c r="D1783" i="1"/>
  <c r="D1781" i="1"/>
  <c r="D1774" i="1"/>
  <c r="D1772" i="1"/>
  <c r="D1767" i="1"/>
  <c r="D1761" i="1"/>
  <c r="D1741" i="1"/>
  <c r="D1735" i="1"/>
  <c r="D1734" i="1"/>
  <c r="D1733" i="1"/>
  <c r="D1728" i="1"/>
  <c r="D1722" i="1"/>
  <c r="D1720" i="1"/>
  <c r="D1713" i="1"/>
  <c r="D1705" i="1"/>
  <c r="D1702" i="1"/>
  <c r="D1696" i="1"/>
  <c r="D1676" i="1"/>
  <c r="D1673" i="1"/>
  <c r="D1669" i="1"/>
  <c r="D1668" i="1"/>
  <c r="D1658" i="1"/>
  <c r="D1657" i="1"/>
  <c r="D1652" i="1"/>
  <c r="D1643" i="1"/>
  <c r="D1639" i="1"/>
  <c r="D1636" i="1"/>
  <c r="D1635" i="1"/>
  <c r="D1629" i="1"/>
  <c r="D1623" i="1"/>
  <c r="D1609" i="1"/>
  <c r="D1605" i="1"/>
  <c r="D1602" i="1"/>
  <c r="D1600" i="1"/>
  <c r="D1594" i="1"/>
  <c r="D1589" i="1"/>
  <c r="D1583" i="1"/>
  <c r="D1579" i="1"/>
  <c r="D1578" i="1"/>
  <c r="D1577" i="1"/>
  <c r="D1575" i="1"/>
  <c r="D1567" i="1"/>
  <c r="D1559" i="1"/>
  <c r="D1555" i="1"/>
  <c r="D1546" i="1"/>
  <c r="D1543" i="1"/>
  <c r="D1542" i="1"/>
  <c r="D1534" i="1"/>
  <c r="D1533" i="1"/>
  <c r="D1532" i="1"/>
  <c r="D1526" i="1"/>
  <c r="D1521" i="1"/>
  <c r="D1520" i="1"/>
  <c r="D1517" i="1"/>
  <c r="D1512" i="1"/>
  <c r="D1510" i="1"/>
  <c r="D1507" i="1"/>
  <c r="D1502" i="1"/>
  <c r="D1499" i="1"/>
  <c r="D1498" i="1"/>
  <c r="D1493" i="1"/>
  <c r="D1492" i="1"/>
  <c r="D1488" i="1"/>
  <c r="D1485" i="1"/>
  <c r="D1469" i="1"/>
  <c r="D1466" i="1"/>
  <c r="D1461" i="1"/>
  <c r="D1459" i="1"/>
  <c r="D1458" i="1"/>
  <c r="D1456" i="1"/>
  <c r="D1440" i="1"/>
  <c r="D1429" i="1"/>
  <c r="D1427" i="1"/>
  <c r="D1421" i="1"/>
  <c r="D1420" i="1"/>
  <c r="D1418" i="1"/>
  <c r="D1416" i="1"/>
  <c r="D1415" i="1"/>
  <c r="D1413" i="1"/>
  <c r="D1408" i="1"/>
  <c r="D1406" i="1"/>
  <c r="D1400" i="1"/>
  <c r="D1397" i="1"/>
  <c r="D1396" i="1"/>
  <c r="D1393" i="1"/>
  <c r="D1392" i="1"/>
  <c r="D1391" i="1"/>
  <c r="D1389" i="1"/>
  <c r="D1386" i="1"/>
  <c r="D1384" i="1"/>
  <c r="D1378" i="1"/>
  <c r="D1377" i="1"/>
  <c r="D1374" i="1"/>
  <c r="D1369" i="1"/>
  <c r="D1362" i="1"/>
  <c r="D1361" i="1"/>
  <c r="D1359" i="1"/>
  <c r="D1357" i="1"/>
  <c r="D1356" i="1"/>
  <c r="D1348" i="1"/>
  <c r="D1346" i="1"/>
  <c r="D1345" i="1"/>
  <c r="D1341" i="1"/>
  <c r="D1340" i="1"/>
  <c r="D1338" i="1"/>
  <c r="D1335" i="1"/>
  <c r="D1332" i="1"/>
  <c r="D1326" i="1"/>
  <c r="D1325" i="1"/>
  <c r="D1324" i="1"/>
  <c r="D1322" i="1"/>
  <c r="D1318" i="1"/>
  <c r="D1316" i="1"/>
  <c r="D1312" i="1"/>
  <c r="D1311" i="1"/>
  <c r="D1308" i="1"/>
  <c r="D1303" i="1"/>
  <c r="D1302" i="1"/>
  <c r="D1301" i="1"/>
  <c r="D1297" i="1"/>
  <c r="D1286" i="1"/>
  <c r="D1285" i="1"/>
  <c r="D1277" i="1"/>
  <c r="D1275" i="1"/>
  <c r="D1270" i="1"/>
  <c r="D1263" i="1"/>
  <c r="D1258" i="1"/>
  <c r="D1256" i="1"/>
  <c r="D1252" i="1"/>
  <c r="D1227" i="1"/>
  <c r="D1226" i="1"/>
  <c r="D1225" i="1"/>
  <c r="D1218" i="1"/>
  <c r="D1217" i="1"/>
  <c r="D1212" i="1"/>
  <c r="D1208" i="1"/>
  <c r="D1203" i="1"/>
  <c r="D1202" i="1"/>
  <c r="D1200" i="1"/>
  <c r="D1198" i="1"/>
  <c r="D1197" i="1"/>
  <c r="D1193" i="1"/>
  <c r="D1191" i="1"/>
  <c r="D1190" i="1"/>
  <c r="D1188" i="1"/>
  <c r="D1187" i="1"/>
  <c r="D1185" i="1"/>
  <c r="D1184" i="1"/>
  <c r="D1183" i="1"/>
  <c r="D1180" i="1"/>
  <c r="D1176" i="1"/>
  <c r="D1173" i="1"/>
  <c r="D1169" i="1"/>
  <c r="D1167" i="1"/>
  <c r="D1165" i="1"/>
  <c r="D1163" i="1"/>
  <c r="D1162" i="1"/>
  <c r="D1154" i="1"/>
  <c r="D1150" i="1"/>
  <c r="D1146" i="1"/>
  <c r="D1145" i="1"/>
  <c r="D1141" i="1"/>
  <c r="D1135" i="1"/>
  <c r="D1134" i="1"/>
  <c r="D1121" i="1"/>
  <c r="D1120" i="1"/>
  <c r="D1112" i="1"/>
  <c r="D1111" i="1"/>
  <c r="D1110" i="1"/>
  <c r="D1098" i="1"/>
  <c r="D1097" i="1"/>
  <c r="D1096" i="1"/>
  <c r="D1090" i="1"/>
  <c r="D1085" i="1"/>
  <c r="D1082" i="1"/>
  <c r="D1081" i="1"/>
  <c r="D1079" i="1"/>
  <c r="D1078" i="1"/>
  <c r="D1077" i="1"/>
  <c r="D1075" i="1"/>
  <c r="D1073" i="1"/>
  <c r="D1062" i="1"/>
  <c r="D1061" i="1"/>
  <c r="D1060" i="1"/>
  <c r="D1056" i="1"/>
  <c r="D1055" i="1"/>
  <c r="D1051" i="1"/>
  <c r="D1047" i="1"/>
  <c r="D1043" i="1"/>
  <c r="D1042" i="1"/>
  <c r="D1036" i="1"/>
  <c r="D1030" i="1"/>
  <c r="D1028" i="1"/>
  <c r="D1021" i="1"/>
  <c r="D1019" i="1"/>
  <c r="D1017" i="1"/>
  <c r="D1013" i="1"/>
  <c r="D1001" i="1"/>
  <c r="D993" i="1"/>
  <c r="D984" i="1"/>
  <c r="D973" i="1"/>
  <c r="D969" i="1"/>
  <c r="D963" i="1"/>
  <c r="D962" i="1"/>
  <c r="D961" i="1"/>
  <c r="D956" i="1"/>
  <c r="D948" i="1"/>
  <c r="D937" i="1"/>
  <c r="D927" i="1"/>
  <c r="D925" i="1"/>
  <c r="D901" i="1"/>
  <c r="D900" i="1"/>
  <c r="D896" i="1"/>
  <c r="D895" i="1"/>
  <c r="D882" i="1"/>
  <c r="D879" i="1"/>
  <c r="D873" i="1"/>
  <c r="D872" i="1"/>
  <c r="D871" i="1"/>
  <c r="D865" i="1"/>
  <c r="D858" i="1"/>
  <c r="D857" i="1"/>
  <c r="D856" i="1"/>
  <c r="D854" i="1"/>
  <c r="D850" i="1"/>
  <c r="D847" i="1"/>
  <c r="D844" i="1"/>
  <c r="D839" i="1"/>
  <c r="D832" i="1"/>
  <c r="D828" i="1"/>
  <c r="D827" i="1"/>
  <c r="D824" i="1"/>
  <c r="D822" i="1"/>
  <c r="D817" i="1"/>
  <c r="D811" i="1"/>
  <c r="D810" i="1"/>
  <c r="D808" i="1"/>
  <c r="D807" i="1"/>
  <c r="D806" i="1"/>
  <c r="D802" i="1"/>
  <c r="D792" i="1"/>
  <c r="D789" i="1"/>
  <c r="D781" i="1"/>
  <c r="D773" i="1"/>
  <c r="D769" i="1"/>
  <c r="D766" i="1"/>
  <c r="D763" i="1"/>
  <c r="D762" i="1"/>
  <c r="D756" i="1"/>
  <c r="D747" i="1"/>
  <c r="D735" i="1"/>
  <c r="D719" i="1"/>
  <c r="D697" i="1"/>
  <c r="D690" i="1"/>
  <c r="D680" i="1"/>
  <c r="D671" i="1"/>
  <c r="D668" i="1"/>
  <c r="D659" i="1"/>
  <c r="D656" i="1"/>
  <c r="D630" i="1"/>
  <c r="D618" i="1"/>
  <c r="D600" i="1"/>
  <c r="D565" i="1"/>
  <c r="D549" i="1"/>
  <c r="D547" i="1"/>
  <c r="D515" i="1"/>
  <c r="D495" i="1"/>
  <c r="D440" i="1"/>
  <c r="D429" i="1"/>
  <c r="D426" i="1"/>
  <c r="D414" i="1"/>
  <c r="D394" i="1"/>
  <c r="D389" i="1"/>
  <c r="D387" i="1"/>
  <c r="D381" i="1"/>
  <c r="D367" i="1"/>
  <c r="D365" i="1"/>
  <c r="D362" i="1"/>
  <c r="D355" i="1"/>
  <c r="D347" i="1"/>
  <c r="D341" i="1"/>
  <c r="D324" i="1"/>
  <c r="D320" i="1"/>
  <c r="D317" i="1"/>
  <c r="D315" i="1"/>
  <c r="D314" i="1"/>
  <c r="D308" i="1"/>
  <c r="D307" i="1"/>
  <c r="D304" i="1"/>
  <c r="D303" i="1"/>
  <c r="D301" i="1"/>
  <c r="D297" i="1"/>
  <c r="D295" i="1"/>
  <c r="D289" i="1"/>
  <c r="D288" i="1"/>
  <c r="D287" i="1"/>
  <c r="D275" i="1"/>
  <c r="D272" i="1"/>
  <c r="D267" i="1"/>
  <c r="D264" i="1"/>
  <c r="D259" i="1"/>
  <c r="D254" i="1"/>
  <c r="D241" i="1"/>
  <c r="D238" i="1"/>
  <c r="D236" i="1"/>
  <c r="D233" i="1"/>
  <c r="D232" i="1"/>
  <c r="D230" i="1"/>
  <c r="D228" i="1"/>
  <c r="D227" i="1"/>
  <c r="D226" i="1"/>
  <c r="D225" i="1"/>
  <c r="D224" i="1"/>
  <c r="D223" i="1"/>
  <c r="D222" i="1"/>
  <c r="D218" i="1"/>
  <c r="D216" i="1"/>
  <c r="D214" i="1"/>
  <c r="D210" i="1"/>
  <c r="D208" i="1"/>
  <c r="D207" i="1"/>
  <c r="D206" i="1"/>
  <c r="D203" i="1"/>
  <c r="D202" i="1"/>
  <c r="D201" i="1"/>
  <c r="D199" i="1"/>
  <c r="D198" i="1"/>
  <c r="D197" i="1"/>
  <c r="D196" i="1"/>
  <c r="D195" i="1"/>
  <c r="D194" i="1"/>
  <c r="D192" i="1"/>
  <c r="D191" i="1"/>
  <c r="D190" i="1"/>
  <c r="D185" i="1"/>
  <c r="D183" i="1"/>
  <c r="D182" i="1"/>
  <c r="D181" i="1"/>
  <c r="D180" i="1"/>
  <c r="D178" i="1"/>
  <c r="D176" i="1"/>
  <c r="D174" i="1"/>
  <c r="D173" i="1"/>
  <c r="D170" i="1"/>
  <c r="D169" i="1"/>
  <c r="D168" i="1"/>
  <c r="D150" i="1"/>
  <c r="D147" i="1"/>
  <c r="D139" i="1"/>
  <c r="D134" i="1"/>
  <c r="D132" i="1"/>
  <c r="D125" i="1"/>
  <c r="D122" i="1"/>
  <c r="D120" i="1"/>
  <c r="D116" i="1"/>
  <c r="D106" i="1"/>
  <c r="D98" i="1"/>
  <c r="D94" i="1"/>
  <c r="D88" i="1"/>
  <c r="D85" i="1"/>
  <c r="D66" i="1"/>
  <c r="D63" i="1"/>
  <c r="D60" i="1"/>
  <c r="D54" i="1"/>
  <c r="D51" i="1"/>
  <c r="D44" i="1"/>
  <c r="D27" i="1"/>
  <c r="D22" i="1"/>
  <c r="D9" i="1"/>
  <c r="D4" i="1"/>
  <c r="D2" i="1"/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</calcChain>
</file>

<file path=xl/sharedStrings.xml><?xml version="1.0" encoding="utf-8"?>
<sst xmlns="http://schemas.openxmlformats.org/spreadsheetml/2006/main" count="28507" uniqueCount="721">
  <si>
    <t>Дом</t>
  </si>
  <si>
    <t>Квартира</t>
  </si>
  <si>
    <t>Код плательщика</t>
  </si>
  <si>
    <t>Долг. Все услуги</t>
  </si>
  <si>
    <t>Беломорская ул., дом 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</si>
  <si>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</si>
  <si>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</si>
  <si>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</si>
  <si>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</si>
  <si>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</si>
  <si>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</si>
  <si>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</si>
  <si>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</si>
  <si>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</si>
  <si>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</si>
  <si>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</si>
  <si>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</si>
  <si>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</si>
  <si>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</si>
  <si>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</si>
  <si>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</si>
  <si>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</si>
  <si>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</si>
  <si>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</si>
  <si>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</si>
  <si>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</si>
  <si>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</si>
  <si>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</si>
  <si>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</si>
  <si>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</si>
  <si>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</si>
  <si>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</si>
  <si>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</si>
  <si>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</si>
  <si>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</si>
  <si>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</si>
  <si>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</si>
  <si>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</si>
  <si>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</si>
  <si>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</si>
  <si>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</si>
  <si>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</si>
  <si>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</si>
  <si>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</si>
  <si>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</si>
  <si>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</si>
  <si>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</si>
  <si>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</si>
  <si>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</si>
  <si>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</si>
  <si>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</si>
  <si>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</si>
  <si>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</si>
  <si>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</si>
  <si>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</si>
  <si>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</si>
  <si>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</si>
  <si>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</si>
  <si>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</si>
  <si>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</si>
  <si>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</si>
  <si>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</si>
  <si>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</si>
  <si>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</si>
  <si>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</si>
  <si>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</si>
  <si>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</si>
  <si>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</si>
  <si>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</si>
  <si>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</si>
  <si>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</si>
  <si>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</si>
  <si>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</si>
  <si>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</si>
  <si>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</si>
  <si>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</si>
  <si>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</si>
  <si>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</si>
  <si>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</si>
  <si>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</si>
  <si>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</si>
  <si>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</si>
  <si>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</si>
  <si>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</si>
  <si>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</si>
  <si>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</si>
  <si>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</si>
  <si>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</si>
  <si>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</si>
  <si>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</si>
  <si>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</si>
  <si>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</si>
  <si>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</si>
  <si>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</si>
  <si>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</si>
  <si>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</si>
  <si>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</si>
  <si>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</si>
  <si>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</si>
  <si>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</si>
  <si>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</si>
  <si>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</si>
  <si>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</si>
  <si>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</si>
  <si>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</si>
  <si>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</si>
  <si>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</si>
  <si>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</si>
  <si>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</si>
  <si>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</si>
  <si>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</si>
  <si>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</si>
  <si>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</si>
  <si>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</si>
  <si>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</si>
  <si>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</si>
  <si>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</si>
  <si>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</si>
  <si>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</si>
  <si>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</si>
  <si>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</si>
  <si>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</si>
  <si>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</si>
  <si>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</si>
  <si>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</si>
  <si>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</si>
  <si>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</si>
  <si>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</si>
  <si>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</si>
  <si>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</si>
  <si>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</si>
  <si>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</si>
  <si>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</si>
  <si>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</si>
  <si>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</si>
  <si>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</si>
  <si>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</si>
  <si>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</si>
  <si>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</si>
  <si>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</si>
  <si>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</si>
  <si>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</si>
  <si>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</si>
  <si>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</si>
  <si>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</si>
  <si>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</si>
  <si>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</si>
  <si>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</si>
  <si>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</si>
  <si>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</si>
  <si>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</si>
  <si>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</si>
  <si>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</si>
  <si>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</si>
  <si>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</si>
  <si>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</si>
  <si>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</si>
  <si>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</si>
  <si>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</si>
  <si>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</si>
  <si>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</si>
  <si>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</si>
  <si>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</si>
  <si>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</si>
  <si>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</si>
  <si>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</si>
  <si>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</si>
  <si>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</si>
  <si>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</si>
  <si>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</si>
  <si>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</si>
  <si>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</si>
  <si>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</si>
  <si>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</si>
  <si>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</si>
  <si>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</si>
  <si>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</si>
  <si>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</si>
  <si>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</si>
  <si>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</si>
  <si>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</si>
  <si>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</si>
  <si>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</si>
  <si>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</si>
  <si>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</si>
  <si>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</si>
  <si>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</si>
  <si>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</si>
  <si>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</si>
  <si>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</si>
  <si>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</si>
  <si>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</si>
  <si>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</si>
  <si>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</si>
  <si>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</si>
  <si>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</si>
  <si>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</si>
  <si>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</si>
  <si>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</si>
  <si>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</si>
  <si>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</si>
  <si>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</si>
  <si>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</si>
  <si>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</si>
  <si>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</si>
  <si>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</si>
  <si>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</si>
  <si>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</si>
  <si>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</si>
  <si>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</si>
  <si>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</si>
  <si>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</si>
  <si>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</si>
  <si>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</si>
  <si>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</si>
  <si>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</si>
  <si>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</si>
  <si>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</si>
  <si>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</si>
  <si>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</si>
  <si>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</si>
  <si>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</si>
  <si>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</si>
  <si>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</si>
  <si>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</si>
  <si>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</si>
  <si>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</si>
  <si>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</si>
  <si>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</si>
  <si>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</si>
  <si>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</si>
  <si>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</si>
  <si>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</si>
  <si>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</si>
  <si>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</si>
  <si>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</si>
  <si>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Беломорская ул., дом 3 к.1</t>
  </si>
  <si>
    <t>Беломорская ул., дом 5 к.1</t>
  </si>
  <si>
    <t>Беломорская ул., дом 5 к.2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</si>
  <si>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</si>
  <si>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</si>
  <si>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</si>
  <si>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</si>
  <si>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</si>
  <si>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</si>
  <si>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</si>
  <si>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</si>
  <si>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</si>
  <si>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</si>
  <si>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</si>
  <si>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</si>
  <si>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</si>
  <si>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</si>
  <si>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</si>
  <si>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</si>
  <si>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</si>
  <si>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</si>
  <si>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</si>
  <si>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</si>
  <si>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</si>
  <si>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</si>
  <si>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</si>
  <si>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</si>
  <si>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</si>
  <si>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</si>
  <si>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</si>
  <si>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</si>
  <si>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</si>
  <si>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</si>
  <si>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</si>
  <si>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</si>
  <si>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</si>
  <si>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</si>
  <si>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</si>
  <si>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</si>
  <si>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</si>
  <si>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</si>
  <si>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</si>
  <si>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</si>
  <si>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</si>
  <si>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</si>
  <si>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</si>
  <si>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</si>
  <si>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</si>
  <si>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</si>
  <si>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</si>
  <si>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</si>
  <si>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</si>
  <si>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</si>
  <si>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</si>
  <si>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</si>
  <si>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</si>
  <si>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</si>
  <si>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</si>
  <si>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</si>
  <si>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</si>
  <si>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</si>
  <si>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</si>
  <si>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</si>
  <si>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</si>
  <si>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</si>
  <si>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</si>
  <si>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</si>
  <si>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</si>
  <si>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</si>
  <si>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</si>
  <si>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</si>
  <si>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</si>
  <si>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</si>
  <si>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</si>
  <si>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</si>
  <si>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</si>
  <si>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</si>
  <si>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</si>
  <si>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</si>
  <si>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</si>
  <si>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</si>
  <si>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</si>
  <si>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</si>
  <si>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</si>
  <si>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Беломорская ул., дом 5 к.3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</si>
  <si>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</si>
  <si>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</si>
  <si>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</si>
  <si>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</si>
  <si>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</si>
  <si>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</si>
  <si>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</si>
  <si>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</si>
  <si>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</si>
  <si>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</si>
  <si>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</si>
  <si>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</si>
  <si>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</si>
  <si>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</si>
  <si>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</si>
  <si>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</si>
  <si>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</si>
  <si>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</si>
  <si>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</si>
  <si>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</si>
  <si>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</si>
  <si>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</si>
  <si>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</si>
  <si>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</si>
  <si>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</si>
  <si>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</si>
  <si>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</si>
  <si>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</si>
  <si>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</si>
  <si>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</si>
  <si>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</si>
  <si>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</si>
  <si>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</si>
  <si>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</si>
  <si>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</si>
  <si>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</si>
  <si>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</si>
  <si>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</si>
  <si>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</si>
  <si>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</si>
  <si>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</si>
  <si>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</si>
  <si>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</si>
  <si>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</si>
  <si>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</si>
  <si>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</si>
  <si>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</si>
  <si>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</si>
  <si>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</si>
  <si>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</si>
  <si>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</si>
  <si>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</si>
  <si>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</si>
  <si>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</si>
  <si>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</si>
  <si>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</si>
  <si>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</si>
  <si>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</si>
  <si>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</si>
  <si>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</si>
  <si>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</si>
  <si>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</si>
  <si>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</si>
  <si>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</si>
  <si>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</si>
  <si>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</si>
  <si>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</si>
  <si>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</si>
  <si>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</si>
  <si>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</si>
  <si>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</si>
  <si>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</si>
  <si>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</si>
  <si>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</si>
  <si>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</si>
  <si>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</si>
  <si>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</si>
  <si>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</si>
  <si>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</si>
  <si>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</si>
  <si>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</si>
  <si>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</si>
  <si>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</si>
  <si>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</si>
  <si>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</si>
  <si>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</si>
  <si>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</si>
  <si>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</si>
  <si>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</si>
  <si>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</si>
  <si>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</si>
  <si>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Беломорская ул., дом 7 к.1</t>
  </si>
  <si>
    <t>Беломорская ул., дом 7 к.2</t>
  </si>
  <si>
    <t>Беломорская ул., дом 7 к.3</t>
  </si>
  <si>
    <t>Беломорская ул., дом 8 к.1</t>
  </si>
  <si>
    <t>Беломорская ул., дом 10 к.3</t>
  </si>
  <si>
    <t>Беломорская ул., дом 11 к.2</t>
  </si>
  <si>
    <t>Беломорская ул., дом 12 к.1</t>
  </si>
  <si>
    <t>Беломорская ул., дом 13 к.1</t>
  </si>
  <si>
    <t>ФЛС 271-270</t>
  </si>
  <si>
    <t>70, 71</t>
  </si>
  <si>
    <t>313</t>
  </si>
  <si>
    <t>314</t>
  </si>
  <si>
    <t>315</t>
  </si>
  <si>
    <t>316</t>
  </si>
  <si>
    <t>317</t>
  </si>
  <si>
    <t>318</t>
  </si>
  <si>
    <t>319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</si>
  <si>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</si>
  <si>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</si>
  <si>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</si>
  <si>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</si>
  <si>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</si>
  <si>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</si>
  <si>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</si>
  <si>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</si>
  <si>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</si>
  <si>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</si>
  <si>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</si>
  <si>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</si>
  <si>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</si>
  <si>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</si>
  <si>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</si>
  <si>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</si>
  <si>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</si>
  <si>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</si>
  <si>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</si>
  <si>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</si>
  <si>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</si>
  <si>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</si>
  <si>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</si>
  <si>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</si>
  <si>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</si>
  <si>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</si>
  <si>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</si>
  <si>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</si>
  <si>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</si>
  <si>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</si>
  <si>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</si>
  <si>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</si>
  <si>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</si>
  <si>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</si>
  <si>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</si>
  <si>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</si>
  <si>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</si>
  <si>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</si>
  <si>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</si>
  <si>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</si>
  <si>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</si>
  <si>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</si>
  <si>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</si>
  <si>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</si>
  <si>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</si>
  <si>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</si>
  <si>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</si>
  <si>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</si>
  <si>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</si>
  <si>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</si>
  <si>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</si>
  <si>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</si>
  <si>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</si>
  <si>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</si>
  <si>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</si>
  <si>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</si>
  <si>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</si>
  <si>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</si>
  <si>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</si>
  <si>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</si>
  <si>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</si>
  <si>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</si>
  <si>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</si>
  <si>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</si>
  <si>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</si>
  <si>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</si>
  <si>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</si>
  <si>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</si>
  <si>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</si>
  <si>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</si>
  <si>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</si>
  <si>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</si>
  <si>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</si>
  <si>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</si>
  <si>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</si>
  <si>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</si>
  <si>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</si>
  <si>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</si>
  <si>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</si>
  <si>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</si>
  <si>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</si>
  <si>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</si>
  <si>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</si>
  <si>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</si>
  <si>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</si>
  <si>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</si>
  <si>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</si>
  <si>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</si>
  <si>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</si>
  <si>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</si>
  <si>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</si>
  <si>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</si>
  <si>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</si>
  <si>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</si>
  <si>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</si>
  <si>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</si>
  <si>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</si>
  <si>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</si>
  <si>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</si>
  <si>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</si>
  <si>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</si>
  <si>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</si>
  <si>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</si>
  <si>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</si>
  <si>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</si>
  <si>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</si>
  <si>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</si>
  <si>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</si>
  <si>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</si>
  <si>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</si>
  <si>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</si>
  <si>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</si>
  <si>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</si>
  <si>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</si>
  <si>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</si>
  <si>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</si>
  <si>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</si>
  <si>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</si>
  <si>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</si>
  <si>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</si>
  <si>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</si>
  <si>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</si>
  <si>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</si>
  <si>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</si>
  <si>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</si>
  <si>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</si>
  <si>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</si>
  <si>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</si>
  <si>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</si>
  <si>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</si>
  <si>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</si>
  <si>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</si>
  <si>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</si>
  <si>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</si>
  <si>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</si>
  <si>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</si>
  <si>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</si>
  <si>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</si>
  <si>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</si>
  <si>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</si>
  <si>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</si>
  <si>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</si>
  <si>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</si>
  <si>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</si>
  <si>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</si>
  <si>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</si>
  <si>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</si>
  <si>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</si>
  <si>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</si>
  <si>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</si>
  <si>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</si>
  <si>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</si>
  <si>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</si>
  <si>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</si>
  <si>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</si>
  <si>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</si>
  <si>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</si>
  <si>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</si>
  <si>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</si>
  <si>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</si>
  <si>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</si>
  <si>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</si>
  <si>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</si>
  <si>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</si>
  <si>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</si>
  <si>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</si>
  <si>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</si>
  <si>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</si>
  <si>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</si>
  <si>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</si>
  <si>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</si>
  <si>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</si>
  <si>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</si>
  <si>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</si>
  <si>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</si>
  <si>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</si>
  <si>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</si>
  <si>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</si>
  <si>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</si>
  <si>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</si>
  <si>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</si>
  <si>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</si>
  <si>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</si>
  <si>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</si>
  <si>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</si>
  <si>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</si>
  <si>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</si>
  <si>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</si>
  <si>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</si>
  <si>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</si>
  <si>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</si>
  <si>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</si>
  <si>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</si>
  <si>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</si>
  <si>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</si>
  <si>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</si>
  <si>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</si>
  <si>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</si>
  <si>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</si>
  <si>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</si>
  <si>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</si>
  <si>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</si>
  <si>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</si>
  <si>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</si>
  <si>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</si>
  <si>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</si>
  <si>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</si>
  <si>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</si>
  <si>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</si>
  <si>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</si>
  <si>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</si>
  <si>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</si>
  <si>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Беломорская ул., дом 13 к.2</t>
  </si>
  <si>
    <t>Беломорская ул., дом 14 к.1</t>
  </si>
  <si>
    <t>Беломорская ул., дом 16</t>
  </si>
  <si>
    <t>Беломорская ул., дом 18А</t>
  </si>
  <si>
    <t>Беломорская ул., дом 20 к.1</t>
  </si>
  <si>
    <t>133-135</t>
  </si>
  <si>
    <t>Беломорская ул., дом 20 к.2</t>
  </si>
  <si>
    <t>Беломорская ул., дом 20 к.3</t>
  </si>
  <si>
    <t>25, 26</t>
  </si>
  <si>
    <t>166-167</t>
  </si>
  <si>
    <t>Беломорская ул., дом 24 к.3</t>
  </si>
  <si>
    <t>5-10</t>
  </si>
  <si>
    <t>58-94</t>
  </si>
  <si>
    <t>Беломорская ул., дом 26</t>
  </si>
  <si>
    <t>Валдайский пр., дом 4</t>
  </si>
  <si>
    <t>Валдайский пр., дом 6</t>
  </si>
  <si>
    <t>Валдайский пр., дом 9А к.1</t>
  </si>
  <si>
    <t>Валдайский пр., дом 10 к.1</t>
  </si>
  <si>
    <t>36-37</t>
  </si>
  <si>
    <t>Валдайский пр., дом 12</t>
  </si>
  <si>
    <t>Валдайский пр., дом 13А к.1</t>
  </si>
  <si>
    <t>Валдайский пр., дом 21</t>
  </si>
  <si>
    <t>Валдайский пр., дом 22</t>
  </si>
  <si>
    <t>Ленинградское шоссе, дом 92/1</t>
  </si>
  <si>
    <t>Ленинградское шоссе, дом 94 к.1</t>
  </si>
  <si>
    <t>Ленинградское шоссе, дом 96 к.1</t>
  </si>
  <si>
    <t>Ленинградское шоссе, дом 96 к.2</t>
  </si>
  <si>
    <t>Ленинградское шоссе, дом 96 к.3</t>
  </si>
  <si>
    <t>Ленинградское шоссе, дом 96 к.4</t>
  </si>
  <si>
    <t>Ленинградское шоссе, дом 96 к.5</t>
  </si>
  <si>
    <t>Ленинградское шоссе, дом 98 к.1</t>
  </si>
  <si>
    <t>Ленинградское шоссе, дом 98 к.2</t>
  </si>
  <si>
    <t>Ленинградское шоссе, дом 98 к.4</t>
  </si>
  <si>
    <t>Ленинградское шоссе, дом 98 к.5</t>
  </si>
  <si>
    <t>Ленинградское шоссе, дом 100</t>
  </si>
  <si>
    <t>Ленинградское шоссе, дом 102</t>
  </si>
  <si>
    <t>Ленинградское шоссе, дом 108</t>
  </si>
  <si>
    <t>Ленинградское шоссе, дом 108 к.1</t>
  </si>
  <si>
    <t>Ленинградское шоссе, дом 108 к.2</t>
  </si>
  <si>
    <t>Ленинградское шоссе, дом 108 к.3</t>
  </si>
  <si>
    <t>Ленинградское шоссе, дом 112 к.2</t>
  </si>
  <si>
    <t>Ленинградское шоссе, дом 112/1 к.1</t>
  </si>
  <si>
    <t>161, 162</t>
  </si>
  <si>
    <t>Ленинградское шоссе, дом 118 к.1</t>
  </si>
  <si>
    <t>Ленинградское шоссе, дом 120 к.3</t>
  </si>
  <si>
    <t>Ленинградское шоссе, дом 124 к.1</t>
  </si>
  <si>
    <t>Ленинградское шоссе, дом 128 к.2</t>
  </si>
  <si>
    <t>Ленинградское шоссе, дом 130 к.2</t>
  </si>
  <si>
    <t>Ленинградское шоссе, дом 130 к.3</t>
  </si>
  <si>
    <t>Ленинградское шоссе, дом 132</t>
  </si>
  <si>
    <t>Ленинградское шоссе, дом 134</t>
  </si>
  <si>
    <t>Прибрежный пр., дом 1</t>
  </si>
  <si>
    <t>Прибрежный пр., дом 4</t>
  </si>
  <si>
    <t>Прибрежный пр., дом 7</t>
  </si>
  <si>
    <t>288а</t>
  </si>
  <si>
    <t>Смольная ул., дом 39</t>
  </si>
  <si>
    <t>Смольная ул., дом 41</t>
  </si>
  <si>
    <t>Смольная ул., дом 43</t>
  </si>
  <si>
    <t>Смольная ул., дом 45</t>
  </si>
  <si>
    <t>Смольная ул., дом 47</t>
  </si>
  <si>
    <t>Смольная ул., дом 51 к.2</t>
  </si>
  <si>
    <t>Смольная ул., дом 51 к.3</t>
  </si>
  <si>
    <t>Смольная ул., дом 57 к.1</t>
  </si>
  <si>
    <t>Смольная ул., дом 61 к.1</t>
  </si>
  <si>
    <t>Смольная ул., дом 63</t>
  </si>
  <si>
    <t>Смольная ул., дом 65</t>
  </si>
  <si>
    <t>Смольная ул., дом 67 к.2</t>
  </si>
  <si>
    <t>Смольная ул., дом 67 к.3</t>
  </si>
  <si>
    <t>Смольная ул., дом 73</t>
  </si>
  <si>
    <t>Фестивальная ул., дом 3</t>
  </si>
  <si>
    <t>Фестивальная ул., дом 4</t>
  </si>
  <si>
    <t>Фестивальная ул., дом 5</t>
  </si>
  <si>
    <t>Фестивальная ул., дом 9</t>
  </si>
  <si>
    <t>Фестивальная ул., дом 15 к.1</t>
  </si>
  <si>
    <t>Фестивальная ул., дом 17 к.1</t>
  </si>
  <si>
    <t>Фестивальная ул., дом 39 к.1</t>
  </si>
  <si>
    <t>Фестивальная ул., дом 41 к.1</t>
  </si>
  <si>
    <t>Фестивальная ул., дом 41 к.2</t>
  </si>
  <si>
    <t>Фестивальная ул., дом 41 к.3</t>
  </si>
  <si>
    <t>Фестивальная ул., дом 41 к.4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</si>
</sst>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rgb="FF0C67D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EF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vertical="top" wrapText="1"/>
    </xf>
    <xf numFmtId="49" fontId="0" fillId="2" borderId="1" xfId="0" applyNumberFormat="1" applyFill="1" applyBorder="1" applyAlignment="1">
      <alignment vertical="top" wrapText="1"/>
    </xf>
    <xf numFmtId="49" fontId="1" fillId="0" borderId="0" xfId="0" applyNumberFormat="1" applyFont="1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254"/>
  <sheetViews>
    <sheetView tabSelected="1" workbookViewId="0">
      <pane xSplit="5" ySplit="1" topLeftCell="F2" activePane="bottomRight" state="frozen"/>
      <selection pane="topRight" activeCell="G1" sqref="G1"/>
      <selection pane="bottomLeft" activeCell="A8" sqref="A8"/>
      <selection pane="bottomRight" activeCell="B1" sqref="B1:B1048576"/>
    </sheetView>
  </sheetViews>
  <sheetFormatPr defaultRowHeight="15" x14ac:dyDescent="0.25"/>
  <cols>
    <col min="1" max="1" width="16.5703125" hidden="1" customWidth="1"/>
    <col min="2" max="2" width="12.85546875" hidden="1" customWidth="1"/>
    <col min="3" max="3" width="27.28515625" hidden="1" customWidth="1"/>
    <col min="4" max="4" width="35.42578125" customWidth="1"/>
    <col min="5" max="5" width="26" style="4" customWidth="1"/>
    <col min="6" max="6" width="23.140625" customWidth="1"/>
  </cols>
  <sheetData>
    <row r="1" spans="1:6" x14ac:dyDescent="0.25">
      <c r="A1" s="1" t="s">
        <v>0</v>
      </c>
      <c r="B1" s="1" t="s">
        <v>1</v>
      </c>
      <c r="C1" s="5" t="str">
        <f>"кв. "&amp;B1</f>
        <v>кв. Квартира</v>
      </c>
      <c r="D1" s="5"/>
      <c r="E1" s="2" t="s">
        <v>2</v>
      </c>
      <c r="F1" s="1" t="s">
        <v>3</v>
      </c>
    </row>
    <row r="2" spans="1:6" x14ac:dyDescent="0.25">
      <c r="A2" t="s">
        <v>4</v>
      </c>
      <c r="B2" s="5">
        <v>1</v>
      </c>
      <c r="C2" s="5" t="str">
        <f>" кв. "&amp;B2</f>
        <v xml:space="preserve"> кв. 1</v>
      </c>
      <c r="D2" s="5" t="str">
        <f>CONCATENATE(A2,C2)</f>
        <v>Беломорская ул., дом 1 кв. 1</v>
      </c>
      <c r="E2" s="3">
        <f>HYPERLINK("https://sao.dolgi.msk.ru/account/1404175952/", 1404175952)</f>
        <v>1404175952</v>
      </c>
      <c r="F2">
        <v>2170.35</v>
      </c>
    </row>
    <row r="3" spans="1:6" hidden="1" x14ac:dyDescent="0.25">
      <c r="A3" t="s">
        <v>4</v>
      </c>
      <c r="B3" t="s">
        <v>6</v>
      </c>
      <c r="E3" s="3">
        <f>HYPERLINK("https://sao.dolgi.msk.ru/account/1404176605/", 1404176605)</f>
        <v>1404176605</v>
      </c>
      <c r="F3">
        <v>0</v>
      </c>
    </row>
    <row r="4" spans="1:6" x14ac:dyDescent="0.25">
      <c r="A4" t="s">
        <v>4</v>
      </c>
      <c r="B4" s="5">
        <v>3</v>
      </c>
      <c r="C4" s="5" t="str">
        <f t="shared" ref="C4:C5" si="0">" кв. "&amp;B4</f>
        <v xml:space="preserve"> кв. 3</v>
      </c>
      <c r="D4" s="5" t="str">
        <f>CONCATENATE(A4,C4)</f>
        <v>Беломорская ул., дом 1 кв. 3</v>
      </c>
      <c r="E4" s="3">
        <f>HYPERLINK("https://sao.dolgi.msk.ru/account/1404175047/", 1404175047)</f>
        <v>1404175047</v>
      </c>
      <c r="F4">
        <v>1738.4</v>
      </c>
    </row>
    <row r="5" spans="1:6" x14ac:dyDescent="0.25">
      <c r="A5" t="s">
        <v>4</v>
      </c>
      <c r="B5" s="5">
        <v>4</v>
      </c>
      <c r="C5" s="5" t="str">
        <f t="shared" si="0"/>
        <v xml:space="preserve"> кв. 4</v>
      </c>
      <c r="D5" s="5" t="str">
        <f>CONCATENATE(A5,C5)</f>
        <v>Беломорская ул., дом 1 кв. 4</v>
      </c>
      <c r="E5" s="3">
        <f>HYPERLINK("https://sao.dolgi.msk.ru/account/1404175418/", 1404175418)</f>
        <v>1404175418</v>
      </c>
      <c r="F5">
        <v>1287.3399999999999</v>
      </c>
    </row>
    <row r="6" spans="1:6" ht="15" hidden="1" customHeight="1" x14ac:dyDescent="0.25">
      <c r="A6" t="s">
        <v>4</v>
      </c>
      <c r="B6" s="5" t="s">
        <v>9</v>
      </c>
      <c r="C6" s="5"/>
      <c r="D6" s="5"/>
      <c r="E6" s="3">
        <f>HYPERLINK("https://sao.dolgi.msk.ru/account/1404174925/", 1404174925)</f>
        <v>1404174925</v>
      </c>
      <c r="F6">
        <v>-3813.22</v>
      </c>
    </row>
    <row r="7" spans="1:6" ht="15" hidden="1" customHeight="1" x14ac:dyDescent="0.25">
      <c r="A7" t="s">
        <v>4</v>
      </c>
      <c r="B7" s="5" t="s">
        <v>10</v>
      </c>
      <c r="C7" s="5"/>
      <c r="D7" s="5"/>
      <c r="E7" s="3">
        <f>HYPERLINK("https://sao.dolgi.msk.ru/account/1404175645/", 1404175645)</f>
        <v>1404175645</v>
      </c>
      <c r="F7">
        <v>-2971.99</v>
      </c>
    </row>
    <row r="8" spans="1:6" ht="15" hidden="1" customHeight="1" x14ac:dyDescent="0.25">
      <c r="A8" t="s">
        <v>4</v>
      </c>
      <c r="B8" s="5" t="s">
        <v>11</v>
      </c>
      <c r="C8" s="5"/>
      <c r="D8" s="5"/>
      <c r="E8" s="3">
        <f>HYPERLINK("https://sao.dolgi.msk.ru/account/1404175127/", 1404175127)</f>
        <v>1404175127</v>
      </c>
      <c r="F8">
        <v>0</v>
      </c>
    </row>
    <row r="9" spans="1:6" x14ac:dyDescent="0.25">
      <c r="A9" t="s">
        <v>4</v>
      </c>
      <c r="B9" s="5" t="s">
        <v>12</v>
      </c>
      <c r="C9" s="5" t="str">
        <f>" кв. "&amp;B9</f>
        <v xml:space="preserve"> кв. 8</v>
      </c>
      <c r="D9" s="5" t="str">
        <f>CONCATENATE(A9,C9)</f>
        <v>Беломорская ул., дом 1 кв. 8</v>
      </c>
      <c r="E9" s="3">
        <f>HYPERLINK("https://sao.dolgi.msk.ru/account/1404176816/", 1404176816)</f>
        <v>1404176816</v>
      </c>
      <c r="F9">
        <v>2093.9</v>
      </c>
    </row>
    <row r="10" spans="1:6" ht="15" hidden="1" customHeight="1" x14ac:dyDescent="0.25">
      <c r="A10" t="s">
        <v>4</v>
      </c>
      <c r="B10" s="5" t="s">
        <v>13</v>
      </c>
      <c r="C10" s="5"/>
      <c r="D10" s="5"/>
      <c r="E10" s="3">
        <f>HYPERLINK("https://sao.dolgi.msk.ru/account/1404176701/", 1404176701)</f>
        <v>1404176701</v>
      </c>
      <c r="F10">
        <v>-2500.91</v>
      </c>
    </row>
    <row r="11" spans="1:6" ht="15" hidden="1" customHeight="1" x14ac:dyDescent="0.25">
      <c r="A11" t="s">
        <v>4</v>
      </c>
      <c r="B11" s="5" t="s">
        <v>14</v>
      </c>
      <c r="C11" s="5"/>
      <c r="D11" s="5"/>
      <c r="E11" s="3">
        <f>HYPERLINK("https://sao.dolgi.msk.ru/account/1404175979/", 1404175979)</f>
        <v>1404175979</v>
      </c>
      <c r="F11">
        <v>-3702.7</v>
      </c>
    </row>
    <row r="12" spans="1:6" ht="15" hidden="1" customHeight="1" x14ac:dyDescent="0.25">
      <c r="A12" t="s">
        <v>4</v>
      </c>
      <c r="B12" s="5" t="s">
        <v>15</v>
      </c>
      <c r="C12" s="5"/>
      <c r="D12" s="5"/>
      <c r="E12" s="3">
        <f>HYPERLINK("https://sao.dolgi.msk.ru/account/1404176445/", 1404176445)</f>
        <v>1404176445</v>
      </c>
      <c r="F12">
        <v>-3822.44</v>
      </c>
    </row>
    <row r="13" spans="1:6" x14ac:dyDescent="0.25">
      <c r="A13" t="s">
        <v>4</v>
      </c>
      <c r="B13" s="5" t="s">
        <v>16</v>
      </c>
      <c r="C13" s="5" t="str">
        <f>" кв. "&amp;B13</f>
        <v xml:space="preserve"> кв. 12</v>
      </c>
      <c r="D13" s="5" t="str">
        <f>CONCATENATE(A13,C13)</f>
        <v>Беломорская ул., дом 1 кв. 12</v>
      </c>
      <c r="E13" s="3">
        <f>HYPERLINK("https://sao.dolgi.msk.ru/account/1404175477/", 1404175477)</f>
        <v>1404175477</v>
      </c>
      <c r="F13">
        <v>2052.79</v>
      </c>
    </row>
    <row r="14" spans="1:6" ht="15" hidden="1" customHeight="1" x14ac:dyDescent="0.25">
      <c r="A14" t="s">
        <v>4</v>
      </c>
      <c r="B14" s="5" t="s">
        <v>17</v>
      </c>
      <c r="C14" s="5"/>
      <c r="D14" s="5"/>
      <c r="E14" s="3">
        <f>HYPERLINK("https://sao.dolgi.msk.ru/account/1404177237/", 1404177237)</f>
        <v>1404177237</v>
      </c>
      <c r="F14">
        <v>-3836.31</v>
      </c>
    </row>
    <row r="15" spans="1:6" ht="15" hidden="1" customHeight="1" x14ac:dyDescent="0.25">
      <c r="A15" t="s">
        <v>4</v>
      </c>
      <c r="B15" s="5" t="s">
        <v>18</v>
      </c>
      <c r="C15" s="5"/>
      <c r="D15" s="5"/>
      <c r="E15" s="3">
        <f>HYPERLINK("https://sao.dolgi.msk.ru/account/1404177181/", 1404177181)</f>
        <v>1404177181</v>
      </c>
      <c r="F15">
        <v>0</v>
      </c>
    </row>
    <row r="16" spans="1:6" ht="15" hidden="1" customHeight="1" x14ac:dyDescent="0.25">
      <c r="A16" t="s">
        <v>4</v>
      </c>
      <c r="B16" s="5" t="s">
        <v>19</v>
      </c>
      <c r="C16" s="5"/>
      <c r="D16" s="5"/>
      <c r="E16" s="3">
        <f>HYPERLINK("https://sao.dolgi.msk.ru/account/1404177341/", 1404177341)</f>
        <v>1404177341</v>
      </c>
      <c r="F16">
        <v>0</v>
      </c>
    </row>
    <row r="17" spans="1:6" ht="15" hidden="1" customHeight="1" x14ac:dyDescent="0.25">
      <c r="A17" t="s">
        <v>4</v>
      </c>
      <c r="B17" s="5" t="s">
        <v>20</v>
      </c>
      <c r="C17" s="5"/>
      <c r="D17" s="5"/>
      <c r="E17" s="3">
        <f>HYPERLINK("https://sao.dolgi.msk.ru/account/1404176904/", 1404176904)</f>
        <v>1404176904</v>
      </c>
      <c r="F17">
        <v>-2842.16</v>
      </c>
    </row>
    <row r="18" spans="1:6" ht="15" hidden="1" customHeight="1" x14ac:dyDescent="0.25">
      <c r="A18" t="s">
        <v>4</v>
      </c>
      <c r="B18" s="5" t="s">
        <v>21</v>
      </c>
      <c r="C18" s="5"/>
      <c r="D18" s="5"/>
      <c r="E18" s="3">
        <f>HYPERLINK("https://sao.dolgi.msk.ru/account/1404176007/", 1404176007)</f>
        <v>1404176007</v>
      </c>
      <c r="F18">
        <v>-3064.42</v>
      </c>
    </row>
    <row r="19" spans="1:6" ht="15" hidden="1" customHeight="1" x14ac:dyDescent="0.25">
      <c r="A19" t="s">
        <v>4</v>
      </c>
      <c r="B19" s="5" t="s">
        <v>22</v>
      </c>
      <c r="C19" s="5"/>
      <c r="D19" s="5"/>
      <c r="E19" s="3">
        <f>HYPERLINK("https://sao.dolgi.msk.ru/account/1404177317/", 1404177317)</f>
        <v>1404177317</v>
      </c>
      <c r="F19">
        <v>-2512.5</v>
      </c>
    </row>
    <row r="20" spans="1:6" ht="15" hidden="1" customHeight="1" x14ac:dyDescent="0.25">
      <c r="A20" t="s">
        <v>4</v>
      </c>
      <c r="B20" s="5" t="s">
        <v>23</v>
      </c>
      <c r="C20" s="5"/>
      <c r="D20" s="5"/>
      <c r="E20" s="3">
        <f>HYPERLINK("https://sao.dolgi.msk.ru/account/1404176533/", 1404176533)</f>
        <v>1404176533</v>
      </c>
      <c r="F20">
        <v>-2042.16</v>
      </c>
    </row>
    <row r="21" spans="1:6" ht="15" hidden="1" customHeight="1" x14ac:dyDescent="0.25">
      <c r="A21" t="s">
        <v>4</v>
      </c>
      <c r="B21" s="5" t="s">
        <v>24</v>
      </c>
      <c r="C21" s="5"/>
      <c r="D21" s="5"/>
      <c r="E21" s="3">
        <f>HYPERLINK("https://sao.dolgi.msk.ru/account/1404176613/", 1404176613)</f>
        <v>1404176613</v>
      </c>
      <c r="F21">
        <v>-3813.22</v>
      </c>
    </row>
    <row r="22" spans="1:6" x14ac:dyDescent="0.25">
      <c r="A22" t="s">
        <v>4</v>
      </c>
      <c r="B22" s="5" t="s">
        <v>25</v>
      </c>
      <c r="C22" s="5" t="str">
        <f>" кв. "&amp;B22</f>
        <v xml:space="preserve"> кв. 21</v>
      </c>
      <c r="D22" s="5" t="str">
        <f>CONCATENATE(A22,C22)</f>
        <v>Беломорская ул., дом 1 кв. 21</v>
      </c>
      <c r="E22" s="3">
        <f>HYPERLINK("https://sao.dolgi.msk.ru/account/1404175231/", 1404175231)</f>
        <v>1404175231</v>
      </c>
      <c r="F22">
        <v>2062.2800000000002</v>
      </c>
    </row>
    <row r="23" spans="1:6" ht="15" hidden="1" customHeight="1" x14ac:dyDescent="0.25">
      <c r="A23" t="s">
        <v>4</v>
      </c>
      <c r="B23" s="5" t="s">
        <v>26</v>
      </c>
      <c r="C23" s="5"/>
      <c r="D23" s="5"/>
      <c r="E23" s="3">
        <f>HYPERLINK("https://sao.dolgi.msk.ru/account/1404176242/", 1404176242)</f>
        <v>1404176242</v>
      </c>
      <c r="F23">
        <v>-3831.69</v>
      </c>
    </row>
    <row r="24" spans="1:6" ht="15" hidden="1" customHeight="1" x14ac:dyDescent="0.25">
      <c r="A24" t="s">
        <v>4</v>
      </c>
      <c r="B24" s="5" t="s">
        <v>27</v>
      </c>
      <c r="C24" s="5"/>
      <c r="D24" s="5"/>
      <c r="E24" s="3">
        <f>HYPERLINK("https://sao.dolgi.msk.ru/account/1404175311/", 1404175311)</f>
        <v>1404175311</v>
      </c>
      <c r="F24">
        <v>-2279.89</v>
      </c>
    </row>
    <row r="25" spans="1:6" ht="15" hidden="1" customHeight="1" x14ac:dyDescent="0.25">
      <c r="A25" t="s">
        <v>4</v>
      </c>
      <c r="B25" s="5" t="s">
        <v>28</v>
      </c>
      <c r="C25" s="5"/>
      <c r="D25" s="5"/>
      <c r="E25" s="3">
        <f>HYPERLINK("https://sao.dolgi.msk.ru/account/1404175354/", 1404175354)</f>
        <v>1404175354</v>
      </c>
      <c r="F25">
        <v>-2085.5100000000002</v>
      </c>
    </row>
    <row r="26" spans="1:6" x14ac:dyDescent="0.25">
      <c r="A26" t="s">
        <v>4</v>
      </c>
      <c r="B26" s="5" t="s">
        <v>29</v>
      </c>
      <c r="C26" s="5" t="str">
        <f t="shared" ref="C26:C27" si="1">" кв. "&amp;B26</f>
        <v xml:space="preserve"> кв. 25</v>
      </c>
      <c r="D26" s="5" t="str">
        <f>CONCATENATE(A26,C26)</f>
        <v>Беломорская ул., дом 1 кв. 25</v>
      </c>
      <c r="E26" s="3">
        <f>HYPERLINK("https://sao.dolgi.msk.ru/account/1404176998/", 1404176998)</f>
        <v>1404176998</v>
      </c>
      <c r="F26">
        <v>1486.65</v>
      </c>
    </row>
    <row r="27" spans="1:6" x14ac:dyDescent="0.25">
      <c r="A27" t="s">
        <v>4</v>
      </c>
      <c r="B27" s="5" t="s">
        <v>30</v>
      </c>
      <c r="C27" s="5" t="str">
        <f t="shared" si="1"/>
        <v xml:space="preserve"> кв. 26</v>
      </c>
      <c r="D27" s="5" t="str">
        <f>CONCATENATE(A27,C27)</f>
        <v>Беломорская ул., дом 1 кв. 26</v>
      </c>
      <c r="E27" s="3">
        <f>HYPERLINK("https://sao.dolgi.msk.ru/account/1404175039/", 1404175039)</f>
        <v>1404175039</v>
      </c>
      <c r="F27">
        <v>2154.4499999999998</v>
      </c>
    </row>
    <row r="28" spans="1:6" hidden="1" x14ac:dyDescent="0.25">
      <c r="A28" t="s">
        <v>4</v>
      </c>
      <c r="B28" s="5" t="s">
        <v>31</v>
      </c>
      <c r="C28" s="5"/>
      <c r="D28" s="5"/>
      <c r="E28" s="3">
        <f>HYPERLINK("https://sao.dolgi.msk.ru/account/1404175362/", 1404175362)</f>
        <v>1404175362</v>
      </c>
      <c r="F28">
        <v>-2272.79</v>
      </c>
    </row>
    <row r="29" spans="1:6" hidden="1" x14ac:dyDescent="0.25">
      <c r="A29" t="s">
        <v>4</v>
      </c>
      <c r="B29" s="5" t="s">
        <v>32</v>
      </c>
      <c r="C29" s="5"/>
      <c r="D29" s="5"/>
      <c r="E29" s="3">
        <f>HYPERLINK("https://sao.dolgi.msk.ru/account/1404174861/", 1404174861)</f>
        <v>1404174861</v>
      </c>
      <c r="F29">
        <v>-683.74</v>
      </c>
    </row>
    <row r="30" spans="1:6" hidden="1" x14ac:dyDescent="0.25">
      <c r="A30" t="s">
        <v>4</v>
      </c>
      <c r="B30" s="5" t="s">
        <v>32</v>
      </c>
      <c r="C30" s="5"/>
      <c r="D30" s="5"/>
      <c r="E30" s="3">
        <f>HYPERLINK("https://sao.dolgi.msk.ru/account/1404175944/", 1404175944)</f>
        <v>1404175944</v>
      </c>
      <c r="F30">
        <v>0</v>
      </c>
    </row>
    <row r="31" spans="1:6" hidden="1" x14ac:dyDescent="0.25">
      <c r="A31" t="s">
        <v>4</v>
      </c>
      <c r="B31" s="5" t="s">
        <v>33</v>
      </c>
      <c r="C31" s="5"/>
      <c r="D31" s="5"/>
      <c r="E31" s="3">
        <f>HYPERLINK("https://sao.dolgi.msk.ru/account/1404177018/", 1404177018)</f>
        <v>1404177018</v>
      </c>
      <c r="F31">
        <v>-3854.8</v>
      </c>
    </row>
    <row r="32" spans="1:6" x14ac:dyDescent="0.25">
      <c r="A32" t="s">
        <v>4</v>
      </c>
      <c r="B32" s="5" t="s">
        <v>34</v>
      </c>
      <c r="C32" s="5" t="str">
        <f>" кв. "&amp;B32</f>
        <v xml:space="preserve"> кв. 30</v>
      </c>
      <c r="D32" s="5" t="str">
        <f>CONCATENATE(A32,C32)</f>
        <v>Беломорская ул., дом 1 кв. 30</v>
      </c>
      <c r="E32" s="3">
        <f>HYPERLINK("https://sao.dolgi.msk.ru/account/1404175389/", 1404175389)</f>
        <v>1404175389</v>
      </c>
      <c r="F32">
        <v>2555.6999999999998</v>
      </c>
    </row>
    <row r="33" spans="1:6" hidden="1" x14ac:dyDescent="0.25">
      <c r="A33" t="s">
        <v>4</v>
      </c>
      <c r="B33" s="5" t="s">
        <v>35</v>
      </c>
      <c r="C33" s="5"/>
      <c r="D33" s="5"/>
      <c r="E33" s="3">
        <f>HYPERLINK("https://sao.dolgi.msk.ru/account/1404177026/", 1404177026)</f>
        <v>1404177026</v>
      </c>
      <c r="F33">
        <v>-2324.81</v>
      </c>
    </row>
    <row r="34" spans="1:6" hidden="1" x14ac:dyDescent="0.25">
      <c r="A34" t="s">
        <v>4</v>
      </c>
      <c r="B34" s="5" t="s">
        <v>36</v>
      </c>
      <c r="C34" s="5"/>
      <c r="D34" s="5"/>
      <c r="E34" s="3">
        <f>HYPERLINK("https://sao.dolgi.msk.ru/account/1404175653/", 1404175653)</f>
        <v>1404175653</v>
      </c>
      <c r="F34">
        <v>-2959.08</v>
      </c>
    </row>
    <row r="35" spans="1:6" hidden="1" x14ac:dyDescent="0.25">
      <c r="A35" t="s">
        <v>4</v>
      </c>
      <c r="B35" s="5" t="s">
        <v>37</v>
      </c>
      <c r="C35" s="5"/>
      <c r="D35" s="5"/>
      <c r="E35" s="3">
        <f>HYPERLINK("https://sao.dolgi.msk.ru/account/1404176402/", 1404176402)</f>
        <v>1404176402</v>
      </c>
      <c r="F35">
        <v>-2589.92</v>
      </c>
    </row>
    <row r="36" spans="1:6" hidden="1" x14ac:dyDescent="0.25">
      <c r="A36" t="s">
        <v>4</v>
      </c>
      <c r="B36" s="5" t="s">
        <v>38</v>
      </c>
      <c r="C36" s="5"/>
      <c r="D36" s="5"/>
      <c r="E36" s="3">
        <f>HYPERLINK("https://sao.dolgi.msk.ru/account/1404175661/", 1404175661)</f>
        <v>1404175661</v>
      </c>
      <c r="F36">
        <v>-2085.4899999999998</v>
      </c>
    </row>
    <row r="37" spans="1:6" hidden="1" x14ac:dyDescent="0.25">
      <c r="A37" t="s">
        <v>4</v>
      </c>
      <c r="B37" s="5" t="s">
        <v>39</v>
      </c>
      <c r="C37" s="5"/>
      <c r="D37" s="5"/>
      <c r="E37" s="3">
        <f>HYPERLINK("https://sao.dolgi.msk.ru/account/1404177034/", 1404177034)</f>
        <v>1404177034</v>
      </c>
      <c r="F37">
        <v>-2805.6</v>
      </c>
    </row>
    <row r="38" spans="1:6" hidden="1" x14ac:dyDescent="0.25">
      <c r="A38" t="s">
        <v>4</v>
      </c>
      <c r="B38" s="5" t="s">
        <v>40</v>
      </c>
      <c r="C38" s="5"/>
      <c r="D38" s="5"/>
      <c r="E38" s="3">
        <f>HYPERLINK("https://sao.dolgi.msk.ru/account/1404176736/", 1404176736)</f>
        <v>1404176736</v>
      </c>
      <c r="F38">
        <v>-3896.41</v>
      </c>
    </row>
    <row r="39" spans="1:6" hidden="1" x14ac:dyDescent="0.25">
      <c r="A39" t="s">
        <v>4</v>
      </c>
      <c r="B39" s="5" t="s">
        <v>41</v>
      </c>
      <c r="C39" s="5"/>
      <c r="D39" s="5"/>
      <c r="E39" s="3">
        <f>HYPERLINK("https://sao.dolgi.msk.ru/account/1404176744/", 1404176744)</f>
        <v>1404176744</v>
      </c>
      <c r="F39">
        <v>-2936.17</v>
      </c>
    </row>
    <row r="40" spans="1:6" hidden="1" x14ac:dyDescent="0.25">
      <c r="A40" t="s">
        <v>4</v>
      </c>
      <c r="B40" s="5" t="s">
        <v>42</v>
      </c>
      <c r="C40" s="5"/>
      <c r="D40" s="5"/>
      <c r="E40" s="3">
        <f>HYPERLINK("https://sao.dolgi.msk.ru/account/1404176429/", 1404176429)</f>
        <v>1404176429</v>
      </c>
      <c r="F40">
        <v>0</v>
      </c>
    </row>
    <row r="41" spans="1:6" hidden="1" x14ac:dyDescent="0.25">
      <c r="A41" t="s">
        <v>4</v>
      </c>
      <c r="B41" s="5" t="s">
        <v>43</v>
      </c>
      <c r="C41" s="5"/>
      <c r="D41" s="5"/>
      <c r="E41" s="3">
        <f>HYPERLINK("https://sao.dolgi.msk.ru/account/1404175397/", 1404175397)</f>
        <v>1404175397</v>
      </c>
      <c r="F41">
        <v>-2629.56</v>
      </c>
    </row>
    <row r="42" spans="1:6" hidden="1" x14ac:dyDescent="0.25">
      <c r="A42" t="s">
        <v>4</v>
      </c>
      <c r="B42" s="5" t="s">
        <v>44</v>
      </c>
      <c r="C42" s="5"/>
      <c r="D42" s="5"/>
      <c r="E42" s="3">
        <f>HYPERLINK("https://sao.dolgi.msk.ru/account/1404176488/", 1404176488)</f>
        <v>1404176488</v>
      </c>
      <c r="F42">
        <v>-2563.4499999999998</v>
      </c>
    </row>
    <row r="43" spans="1:6" hidden="1" x14ac:dyDescent="0.25">
      <c r="A43" t="s">
        <v>4</v>
      </c>
      <c r="B43" s="5" t="s">
        <v>45</v>
      </c>
      <c r="C43" s="5"/>
      <c r="D43" s="5"/>
      <c r="E43" s="3">
        <f>HYPERLINK("https://sao.dolgi.msk.ru/account/1404176111/", 1404176111)</f>
        <v>1404176111</v>
      </c>
      <c r="F43">
        <v>-2173.85</v>
      </c>
    </row>
    <row r="44" spans="1:6" x14ac:dyDescent="0.25">
      <c r="A44" t="s">
        <v>4</v>
      </c>
      <c r="B44" s="5" t="s">
        <v>46</v>
      </c>
      <c r="C44" s="5" t="str">
        <f>" кв. "&amp;B44</f>
        <v xml:space="preserve"> кв. 42</v>
      </c>
      <c r="D44" s="5" t="str">
        <f>CONCATENATE(A44,C44)</f>
        <v>Беломорская ул., дом 1 кв. 42</v>
      </c>
      <c r="E44" s="3">
        <f>HYPERLINK("https://sao.dolgi.msk.ru/account/1404176138/", 1404176138)</f>
        <v>1404176138</v>
      </c>
      <c r="F44">
        <v>2055.9499999999998</v>
      </c>
    </row>
    <row r="45" spans="1:6" hidden="1" x14ac:dyDescent="0.25">
      <c r="A45" t="s">
        <v>4</v>
      </c>
      <c r="B45" s="5" t="s">
        <v>47</v>
      </c>
      <c r="C45" s="5"/>
      <c r="D45" s="5"/>
      <c r="E45" s="3">
        <f>HYPERLINK("https://sao.dolgi.msk.ru/account/1404174781/", 1404174781)</f>
        <v>1404174781</v>
      </c>
      <c r="F45">
        <v>-2884.17</v>
      </c>
    </row>
    <row r="46" spans="1:6" hidden="1" x14ac:dyDescent="0.25">
      <c r="A46" t="s">
        <v>4</v>
      </c>
      <c r="B46" s="5" t="s">
        <v>48</v>
      </c>
      <c r="C46" s="5"/>
      <c r="D46" s="5"/>
      <c r="E46" s="3">
        <f>HYPERLINK("https://sao.dolgi.msk.ru/account/1404176859/", 1404176859)</f>
        <v>1404176859</v>
      </c>
      <c r="F46">
        <v>-1019.74</v>
      </c>
    </row>
    <row r="47" spans="1:6" x14ac:dyDescent="0.25">
      <c r="A47" t="s">
        <v>4</v>
      </c>
      <c r="B47" s="5" t="s">
        <v>49</v>
      </c>
      <c r="C47" s="5" t="str">
        <f>" кв. "&amp;B47</f>
        <v xml:space="preserve"> кв. 45</v>
      </c>
      <c r="D47" s="5" t="str">
        <f>CONCATENATE(A47,C47)</f>
        <v>Беломорская ул., дом 1 кв. 45</v>
      </c>
      <c r="E47" s="3">
        <f>HYPERLINK("https://sao.dolgi.msk.ru/account/1404176496/", 1404176496)</f>
        <v>1404176496</v>
      </c>
      <c r="F47">
        <v>2682.22</v>
      </c>
    </row>
    <row r="48" spans="1:6" hidden="1" x14ac:dyDescent="0.25">
      <c r="A48" t="s">
        <v>4</v>
      </c>
      <c r="B48" s="5" t="s">
        <v>50</v>
      </c>
      <c r="C48" s="5"/>
      <c r="D48" s="5"/>
      <c r="E48" s="3">
        <f>HYPERLINK("https://sao.dolgi.msk.ru/account/1404175186/", 1404175186)</f>
        <v>1404175186</v>
      </c>
      <c r="F48">
        <v>0</v>
      </c>
    </row>
    <row r="49" spans="1:6" hidden="1" x14ac:dyDescent="0.25">
      <c r="A49" t="s">
        <v>4</v>
      </c>
      <c r="B49" s="5" t="s">
        <v>51</v>
      </c>
      <c r="C49" s="5"/>
      <c r="D49" s="5"/>
      <c r="E49" s="3">
        <f>HYPERLINK("https://sao.dolgi.msk.ru/account/1404175506/", 1404175506)</f>
        <v>1404175506</v>
      </c>
      <c r="F49">
        <v>-2432.84</v>
      </c>
    </row>
    <row r="50" spans="1:6" hidden="1" x14ac:dyDescent="0.25">
      <c r="A50" t="s">
        <v>4</v>
      </c>
      <c r="B50" s="5" t="s">
        <v>52</v>
      </c>
      <c r="C50" s="5"/>
      <c r="D50" s="5"/>
      <c r="E50" s="3">
        <f>HYPERLINK("https://sao.dolgi.msk.ru/account/1404175194/", 1404175194)</f>
        <v>1404175194</v>
      </c>
      <c r="F50">
        <v>-3873.29</v>
      </c>
    </row>
    <row r="51" spans="1:6" x14ac:dyDescent="0.25">
      <c r="A51" t="s">
        <v>4</v>
      </c>
      <c r="B51" s="5" t="s">
        <v>53</v>
      </c>
      <c r="C51" s="5" t="str">
        <f t="shared" ref="C51:C52" si="2">" кв. "&amp;B51</f>
        <v xml:space="preserve"> кв. 49</v>
      </c>
      <c r="D51" s="5" t="str">
        <f>CONCATENATE(A51,C51)</f>
        <v>Беломорская ул., дом 1 кв. 49</v>
      </c>
      <c r="E51" s="3">
        <f>HYPERLINK("https://sao.dolgi.msk.ru/account/1404175872/", 1404175872)</f>
        <v>1404175872</v>
      </c>
      <c r="F51">
        <v>2675.9</v>
      </c>
    </row>
    <row r="52" spans="1:6" x14ac:dyDescent="0.25">
      <c r="A52" t="s">
        <v>4</v>
      </c>
      <c r="B52" s="5" t="s">
        <v>54</v>
      </c>
      <c r="C52" s="5" t="str">
        <f t="shared" si="2"/>
        <v xml:space="preserve"> кв. 50</v>
      </c>
      <c r="D52" s="5" t="str">
        <f>CONCATENATE(A52,C52)</f>
        <v>Беломорская ул., дом 1 кв. 50</v>
      </c>
      <c r="E52" s="3">
        <f>HYPERLINK("https://sao.dolgi.msk.ru/account/1404176955/", 1404176955)</f>
        <v>1404176955</v>
      </c>
      <c r="F52">
        <v>1451.82</v>
      </c>
    </row>
    <row r="53" spans="1:6" hidden="1" x14ac:dyDescent="0.25">
      <c r="A53" t="s">
        <v>4</v>
      </c>
      <c r="B53" s="5" t="s">
        <v>55</v>
      </c>
      <c r="C53" s="5"/>
      <c r="D53" s="5"/>
      <c r="E53" s="3">
        <f>HYPERLINK("https://sao.dolgi.msk.ru/account/1404177413/", 1404177413)</f>
        <v>1404177413</v>
      </c>
      <c r="F53">
        <v>0</v>
      </c>
    </row>
    <row r="54" spans="1:6" x14ac:dyDescent="0.25">
      <c r="A54" t="s">
        <v>4</v>
      </c>
      <c r="B54" s="5" t="s">
        <v>56</v>
      </c>
      <c r="C54" s="5" t="str">
        <f>" кв. "&amp;B54</f>
        <v xml:space="preserve"> кв. 52</v>
      </c>
      <c r="D54" s="5" t="str">
        <f>CONCATENATE(A54,C54)</f>
        <v>Беломорская ул., дом 1 кв. 52</v>
      </c>
      <c r="E54" s="3">
        <f>HYPERLINK("https://sao.dolgi.msk.ru/account/1404174933/", 1404174933)</f>
        <v>1404174933</v>
      </c>
      <c r="F54">
        <v>2330.34</v>
      </c>
    </row>
    <row r="55" spans="1:6" hidden="1" x14ac:dyDescent="0.25">
      <c r="A55" t="s">
        <v>4</v>
      </c>
      <c r="B55" s="5" t="s">
        <v>57</v>
      </c>
      <c r="C55" s="5"/>
      <c r="D55" s="5"/>
      <c r="E55" s="3">
        <f>HYPERLINK("https://sao.dolgi.msk.ru/account/1404174941/", 1404174941)</f>
        <v>1404174941</v>
      </c>
      <c r="F55">
        <v>-986.34</v>
      </c>
    </row>
    <row r="56" spans="1:6" hidden="1" x14ac:dyDescent="0.25">
      <c r="A56" t="s">
        <v>4</v>
      </c>
      <c r="B56" s="5" t="s">
        <v>58</v>
      </c>
      <c r="C56" s="5"/>
      <c r="D56" s="5"/>
      <c r="E56" s="3">
        <f>HYPERLINK("https://sao.dolgi.msk.ru/account/1404176656/", 1404176656)</f>
        <v>1404176656</v>
      </c>
      <c r="F56">
        <v>-3176.31</v>
      </c>
    </row>
    <row r="57" spans="1:6" x14ac:dyDescent="0.25">
      <c r="A57" t="s">
        <v>4</v>
      </c>
      <c r="B57" s="5" t="s">
        <v>59</v>
      </c>
      <c r="C57" s="5" t="str">
        <f>" кв. "&amp;B57</f>
        <v xml:space="preserve"> кв. 55</v>
      </c>
      <c r="D57" s="5" t="str">
        <f>CONCATENATE(A57,C57)</f>
        <v>Беломорская ул., дом 1 кв. 55</v>
      </c>
      <c r="E57" s="3">
        <f>HYPERLINK("https://sao.dolgi.msk.ru/account/1404176306/", 1404176306)</f>
        <v>1404176306</v>
      </c>
      <c r="F57">
        <v>1935.76</v>
      </c>
    </row>
    <row r="58" spans="1:6" hidden="1" x14ac:dyDescent="0.25">
      <c r="A58" t="s">
        <v>4</v>
      </c>
      <c r="B58" s="5" t="s">
        <v>60</v>
      </c>
      <c r="C58" s="5"/>
      <c r="D58" s="5"/>
      <c r="E58" s="3">
        <f>HYPERLINK("https://sao.dolgi.msk.ru/account/1404177421/", 1404177421)</f>
        <v>1404177421</v>
      </c>
      <c r="F58">
        <v>-1219.78</v>
      </c>
    </row>
    <row r="59" spans="1:6" hidden="1" x14ac:dyDescent="0.25">
      <c r="A59" t="s">
        <v>4</v>
      </c>
      <c r="B59" s="5" t="s">
        <v>61</v>
      </c>
      <c r="C59" s="5"/>
      <c r="D59" s="5"/>
      <c r="E59" s="3">
        <f>HYPERLINK("https://sao.dolgi.msk.ru/account/1404174968/", 1404174968)</f>
        <v>1404174968</v>
      </c>
      <c r="F59">
        <v>-3189.23</v>
      </c>
    </row>
    <row r="60" spans="1:6" x14ac:dyDescent="0.25">
      <c r="A60" t="s">
        <v>4</v>
      </c>
      <c r="B60" s="5" t="s">
        <v>62</v>
      </c>
      <c r="C60" s="5" t="str">
        <f t="shared" ref="C60:C61" si="3">" кв. "&amp;B60</f>
        <v xml:space="preserve"> кв. 58</v>
      </c>
      <c r="D60" s="5" t="str">
        <f>CONCATENATE(A60,C60)</f>
        <v>Беломорская ул., дом 1 кв. 58</v>
      </c>
      <c r="E60" s="3">
        <f>HYPERLINK("https://sao.dolgi.msk.ru/account/1404177448/", 1404177448)</f>
        <v>1404177448</v>
      </c>
      <c r="F60">
        <v>2571.52</v>
      </c>
    </row>
    <row r="61" spans="1:6" x14ac:dyDescent="0.25">
      <c r="A61" t="s">
        <v>4</v>
      </c>
      <c r="B61" s="5" t="s">
        <v>63</v>
      </c>
      <c r="C61" s="5" t="str">
        <f t="shared" si="3"/>
        <v xml:space="preserve"> кв. 59</v>
      </c>
      <c r="D61" s="5" t="str">
        <f>CONCATENATE(A61,C61)</f>
        <v>Беломорская ул., дом 1 кв. 59</v>
      </c>
      <c r="E61" s="3">
        <f>HYPERLINK("https://sao.dolgi.msk.ru/account/1404174976/", 1404174976)</f>
        <v>1404174976</v>
      </c>
      <c r="F61">
        <v>1451.82</v>
      </c>
    </row>
    <row r="62" spans="1:6" hidden="1" x14ac:dyDescent="0.25">
      <c r="A62" t="s">
        <v>4</v>
      </c>
      <c r="B62" s="5" t="s">
        <v>64</v>
      </c>
      <c r="C62" s="5"/>
      <c r="D62" s="5"/>
      <c r="E62" s="3">
        <f>HYPERLINK("https://sao.dolgi.msk.ru/account/1404175899/", 1404175899)</f>
        <v>1404175899</v>
      </c>
      <c r="F62">
        <v>-3905.66</v>
      </c>
    </row>
    <row r="63" spans="1:6" x14ac:dyDescent="0.25">
      <c r="A63" t="s">
        <v>4</v>
      </c>
      <c r="B63" s="5" t="s">
        <v>65</v>
      </c>
      <c r="C63" s="5" t="str">
        <f>" кв. "&amp;B63</f>
        <v xml:space="preserve"> кв. 61</v>
      </c>
      <c r="D63" s="5" t="str">
        <f>CONCATENATE(A63,C63)</f>
        <v>Беломорская ул., дом 1 кв. 61</v>
      </c>
      <c r="E63" s="3">
        <f>HYPERLINK("https://sao.dolgi.msk.ru/account/1404176664/", 1404176664)</f>
        <v>1404176664</v>
      </c>
      <c r="F63">
        <v>2016.41</v>
      </c>
    </row>
    <row r="64" spans="1:6" hidden="1" x14ac:dyDescent="0.25">
      <c r="A64" t="s">
        <v>4</v>
      </c>
      <c r="B64" s="5" t="s">
        <v>66</v>
      </c>
      <c r="C64" s="5"/>
      <c r="D64" s="5"/>
      <c r="E64" s="3">
        <f>HYPERLINK("https://sao.dolgi.msk.ru/account/1404176314/", 1404176314)</f>
        <v>1404176314</v>
      </c>
      <c r="F64">
        <v>-2650.51</v>
      </c>
    </row>
    <row r="65" spans="1:6" x14ac:dyDescent="0.25">
      <c r="A65" t="s">
        <v>4</v>
      </c>
      <c r="B65" s="5" t="s">
        <v>67</v>
      </c>
      <c r="C65" s="5" t="str">
        <f t="shared" ref="C65:C66" si="4">" кв. "&amp;B65</f>
        <v xml:space="preserve"> кв. 63</v>
      </c>
      <c r="D65" s="5" t="str">
        <f>CONCATENATE(A65,C65)</f>
        <v>Беломорская ул., дом 1 кв. 63</v>
      </c>
      <c r="E65" s="3">
        <f>HYPERLINK("https://sao.dolgi.msk.ru/account/1404176672/", 1404176672)</f>
        <v>1404176672</v>
      </c>
      <c r="F65">
        <v>977.36</v>
      </c>
    </row>
    <row r="66" spans="1:6" x14ac:dyDescent="0.25">
      <c r="A66" t="s">
        <v>4</v>
      </c>
      <c r="B66" s="5" t="s">
        <v>68</v>
      </c>
      <c r="C66" s="5" t="str">
        <f t="shared" si="4"/>
        <v xml:space="preserve"> кв. 64</v>
      </c>
      <c r="D66" s="5" t="str">
        <f>CONCATENATE(A66,C66)</f>
        <v>Беломорская ул., дом 1 кв. 64</v>
      </c>
      <c r="E66" s="3">
        <f>HYPERLINK("https://sao.dolgi.msk.ru/account/1404175901/", 1404175901)</f>
        <v>1404175901</v>
      </c>
      <c r="F66">
        <v>2014.83</v>
      </c>
    </row>
    <row r="67" spans="1:6" hidden="1" x14ac:dyDescent="0.25">
      <c r="A67" t="s">
        <v>4</v>
      </c>
      <c r="B67" s="5" t="s">
        <v>69</v>
      </c>
      <c r="C67" s="5"/>
      <c r="D67" s="5"/>
      <c r="E67" s="3">
        <f>HYPERLINK("https://sao.dolgi.msk.ru/account/1404176322/", 1404176322)</f>
        <v>1404176322</v>
      </c>
      <c r="F67">
        <v>0</v>
      </c>
    </row>
    <row r="68" spans="1:6" hidden="1" x14ac:dyDescent="0.25">
      <c r="A68" t="s">
        <v>4</v>
      </c>
      <c r="B68" s="5" t="s">
        <v>70</v>
      </c>
      <c r="C68" s="5"/>
      <c r="D68" s="5"/>
      <c r="E68" s="3">
        <f>HYPERLINK("https://sao.dolgi.msk.ru/account/1404176349/", 1404176349)</f>
        <v>1404176349</v>
      </c>
      <c r="F68">
        <v>0</v>
      </c>
    </row>
    <row r="69" spans="1:6" hidden="1" x14ac:dyDescent="0.25">
      <c r="A69" t="s">
        <v>4</v>
      </c>
      <c r="B69" s="5" t="s">
        <v>71</v>
      </c>
      <c r="C69" s="5"/>
      <c r="D69" s="5"/>
      <c r="E69" s="3">
        <f>HYPERLINK("https://sao.dolgi.msk.ru/account/1404175928/", 1404175928)</f>
        <v>1404175928</v>
      </c>
      <c r="F69">
        <v>0</v>
      </c>
    </row>
    <row r="70" spans="1:6" hidden="1" x14ac:dyDescent="0.25">
      <c r="A70" t="s">
        <v>4</v>
      </c>
      <c r="B70" s="5" t="s">
        <v>72</v>
      </c>
      <c r="C70" s="5"/>
      <c r="D70" s="5"/>
      <c r="E70" s="3">
        <f>HYPERLINK("https://sao.dolgi.msk.ru/account/1404174765/", 1404174765)</f>
        <v>1404174765</v>
      </c>
      <c r="F70">
        <v>0</v>
      </c>
    </row>
    <row r="71" spans="1:6" hidden="1" x14ac:dyDescent="0.25">
      <c r="A71" t="s">
        <v>4</v>
      </c>
      <c r="B71" s="5" t="s">
        <v>73</v>
      </c>
      <c r="C71" s="5"/>
      <c r="D71" s="5"/>
      <c r="E71" s="3">
        <f>HYPERLINK("https://sao.dolgi.msk.ru/account/1404175768/", 1404175768)</f>
        <v>1404175768</v>
      </c>
      <c r="F71">
        <v>0</v>
      </c>
    </row>
    <row r="72" spans="1:6" hidden="1" x14ac:dyDescent="0.25">
      <c r="A72" t="s">
        <v>4</v>
      </c>
      <c r="B72" s="5" t="s">
        <v>74</v>
      </c>
      <c r="C72" s="5"/>
      <c r="D72" s="5"/>
      <c r="E72" s="3">
        <f>HYPERLINK("https://sao.dolgi.msk.ru/account/1404175776/", 1404175776)</f>
        <v>1404175776</v>
      </c>
      <c r="F72">
        <v>-2670.9</v>
      </c>
    </row>
    <row r="73" spans="1:6" hidden="1" x14ac:dyDescent="0.25">
      <c r="A73" t="s">
        <v>4</v>
      </c>
      <c r="B73" s="5" t="s">
        <v>75</v>
      </c>
      <c r="C73" s="5"/>
      <c r="D73" s="5"/>
      <c r="E73" s="3">
        <f>HYPERLINK("https://sao.dolgi.msk.ru/account/1404176103/", 1404176103)</f>
        <v>1404176103</v>
      </c>
      <c r="F73">
        <v>-1665.62</v>
      </c>
    </row>
    <row r="74" spans="1:6" hidden="1" x14ac:dyDescent="0.25">
      <c r="A74" t="s">
        <v>4</v>
      </c>
      <c r="B74" s="5" t="s">
        <v>76</v>
      </c>
      <c r="C74" s="5"/>
      <c r="D74" s="5"/>
      <c r="E74" s="3">
        <f>HYPERLINK("https://sao.dolgi.msk.ru/account/1404174773/", 1404174773)</f>
        <v>1404174773</v>
      </c>
      <c r="F74">
        <v>-1931.16</v>
      </c>
    </row>
    <row r="75" spans="1:6" hidden="1" x14ac:dyDescent="0.25">
      <c r="A75" t="s">
        <v>4</v>
      </c>
      <c r="B75" s="5" t="s">
        <v>77</v>
      </c>
      <c r="C75" s="5"/>
      <c r="D75" s="5"/>
      <c r="E75" s="3">
        <f>HYPERLINK("https://sao.dolgi.msk.ru/account/1404177253/", 1404177253)</f>
        <v>1404177253</v>
      </c>
      <c r="F75">
        <v>-1897.37</v>
      </c>
    </row>
    <row r="76" spans="1:6" hidden="1" x14ac:dyDescent="0.25">
      <c r="A76" t="s">
        <v>4</v>
      </c>
      <c r="B76" s="5" t="s">
        <v>78</v>
      </c>
      <c r="C76" s="5"/>
      <c r="D76" s="5"/>
      <c r="E76" s="3">
        <f>HYPERLINK("https://sao.dolgi.msk.ru/account/1404177261/", 1404177261)</f>
        <v>1404177261</v>
      </c>
      <c r="F76">
        <v>-2790.57</v>
      </c>
    </row>
    <row r="77" spans="1:6" hidden="1" x14ac:dyDescent="0.25">
      <c r="A77" t="s">
        <v>4</v>
      </c>
      <c r="B77" s="5" t="s">
        <v>79</v>
      </c>
      <c r="C77" s="5"/>
      <c r="D77" s="5"/>
      <c r="E77" s="3">
        <f>HYPERLINK("https://sao.dolgi.msk.ru/account/1404177288/", 1404177288)</f>
        <v>1404177288</v>
      </c>
      <c r="F77">
        <v>-1388.94</v>
      </c>
    </row>
    <row r="78" spans="1:6" hidden="1" x14ac:dyDescent="0.25">
      <c r="A78" t="s">
        <v>4</v>
      </c>
      <c r="B78" s="5" t="s">
        <v>80</v>
      </c>
      <c r="C78" s="5"/>
      <c r="D78" s="5"/>
      <c r="E78" s="3">
        <f>HYPERLINK("https://sao.dolgi.msk.ru/account/1404175784/", 1404175784)</f>
        <v>1404175784</v>
      </c>
      <c r="F78">
        <v>-3304.31</v>
      </c>
    </row>
    <row r="79" spans="1:6" hidden="1" x14ac:dyDescent="0.25">
      <c r="A79" t="s">
        <v>4</v>
      </c>
      <c r="B79" s="5" t="s">
        <v>81</v>
      </c>
      <c r="C79" s="5"/>
      <c r="D79" s="5"/>
      <c r="E79" s="3">
        <f>HYPERLINK("https://sao.dolgi.msk.ru/account/1404176808/", 1404176808)</f>
        <v>1404176808</v>
      </c>
      <c r="F79">
        <v>-3776.23</v>
      </c>
    </row>
    <row r="80" spans="1:6" hidden="1" x14ac:dyDescent="0.25">
      <c r="A80" t="s">
        <v>4</v>
      </c>
      <c r="B80" s="5" t="s">
        <v>82</v>
      </c>
      <c r="C80" s="5"/>
      <c r="D80" s="5"/>
      <c r="E80" s="3">
        <f>HYPERLINK("https://sao.dolgi.msk.ru/account/1404176461/", 1404176461)</f>
        <v>1404176461</v>
      </c>
      <c r="F80">
        <v>0</v>
      </c>
    </row>
    <row r="81" spans="1:6" hidden="1" x14ac:dyDescent="0.25">
      <c r="A81" t="s">
        <v>4</v>
      </c>
      <c r="B81" s="5" t="s">
        <v>83</v>
      </c>
      <c r="C81" s="5"/>
      <c r="D81" s="5"/>
      <c r="E81" s="3">
        <f>HYPERLINK("https://sao.dolgi.msk.ru/account/1404177296/", 1404177296)</f>
        <v>1404177296</v>
      </c>
      <c r="F81">
        <v>0</v>
      </c>
    </row>
    <row r="82" spans="1:6" hidden="1" x14ac:dyDescent="0.25">
      <c r="A82" t="s">
        <v>4</v>
      </c>
      <c r="B82" s="5" t="s">
        <v>84</v>
      </c>
      <c r="C82" s="5"/>
      <c r="D82" s="5"/>
      <c r="E82" s="3">
        <f>HYPERLINK("https://sao.dolgi.msk.ru/account/1404176824/", 1404176824)</f>
        <v>1404176824</v>
      </c>
      <c r="F82">
        <v>-2014.81</v>
      </c>
    </row>
    <row r="83" spans="1:6" x14ac:dyDescent="0.25">
      <c r="A83" t="s">
        <v>4</v>
      </c>
      <c r="B83" s="5" t="s">
        <v>85</v>
      </c>
      <c r="C83" s="5" t="str">
        <f>" кв. "&amp;B83</f>
        <v xml:space="preserve"> кв. 81</v>
      </c>
      <c r="D83" s="5" t="str">
        <f>CONCATENATE(A83,C83)</f>
        <v>Беломорская ул., дом 1 кв. 81</v>
      </c>
      <c r="E83" s="3">
        <f>HYPERLINK("https://sao.dolgi.msk.ru/account/1404176832/", 1404176832)</f>
        <v>1404176832</v>
      </c>
      <c r="F83">
        <v>1995.85</v>
      </c>
    </row>
    <row r="84" spans="1:6" hidden="1" x14ac:dyDescent="0.25">
      <c r="A84" t="s">
        <v>4</v>
      </c>
      <c r="B84" t="s">
        <v>86</v>
      </c>
      <c r="E84" s="3">
        <f>HYPERLINK("https://sao.dolgi.msk.ru/account/1404175135/", 1404175135)</f>
        <v>1404175135</v>
      </c>
      <c r="F84">
        <v>-3790.1</v>
      </c>
    </row>
    <row r="85" spans="1:6" x14ac:dyDescent="0.25">
      <c r="A85" t="s">
        <v>4</v>
      </c>
      <c r="B85" t="s">
        <v>87</v>
      </c>
      <c r="C85" s="5" t="str">
        <f>" кв. "&amp;B85</f>
        <v xml:space="preserve"> кв. 83</v>
      </c>
      <c r="D85" s="5" t="str">
        <f>CONCATENATE(A85,C85)</f>
        <v>Беломорская ул., дом 1 кв. 83</v>
      </c>
      <c r="E85" s="3">
        <f>HYPERLINK("https://sao.dolgi.msk.ru/account/1404175143/", 1404175143)</f>
        <v>1404175143</v>
      </c>
      <c r="F85">
        <v>1948.41</v>
      </c>
    </row>
    <row r="86" spans="1:6" hidden="1" x14ac:dyDescent="0.25">
      <c r="A86" t="s">
        <v>4</v>
      </c>
      <c r="B86" t="s">
        <v>88</v>
      </c>
      <c r="E86" s="3">
        <f>HYPERLINK("https://sao.dolgi.msk.ru/account/1404175151/", 1404175151)</f>
        <v>1404175151</v>
      </c>
      <c r="F86">
        <v>-3924.13</v>
      </c>
    </row>
    <row r="87" spans="1:6" x14ac:dyDescent="0.25">
      <c r="A87" t="s">
        <v>4</v>
      </c>
      <c r="B87" t="s">
        <v>89</v>
      </c>
      <c r="C87" s="5" t="str">
        <f t="shared" ref="C87:C88" si="5">" кв. "&amp;B87</f>
        <v xml:space="preserve"> кв. 85</v>
      </c>
      <c r="D87" s="5" t="str">
        <f>CONCATENATE(A87,C87)</f>
        <v>Беломорская ул., дом 1 кв. 85</v>
      </c>
      <c r="E87" s="3">
        <f>HYPERLINK("https://sao.dolgi.msk.ru/account/1404175178/", 1404175178)</f>
        <v>1404175178</v>
      </c>
      <c r="F87">
        <v>2081.25</v>
      </c>
    </row>
    <row r="88" spans="1:6" x14ac:dyDescent="0.25">
      <c r="A88" t="s">
        <v>4</v>
      </c>
      <c r="B88" t="s">
        <v>90</v>
      </c>
      <c r="C88" s="5" t="str">
        <f t="shared" si="5"/>
        <v xml:space="preserve"> кв. 86</v>
      </c>
      <c r="D88" s="5" t="str">
        <f>CONCATENATE(A88,C88)</f>
        <v>Беломорская ул., дом 1 кв. 86</v>
      </c>
      <c r="E88" s="3">
        <f>HYPERLINK("https://sao.dolgi.msk.ru/account/1404175936/", 1404175936)</f>
        <v>1404175936</v>
      </c>
      <c r="F88">
        <v>1929.43</v>
      </c>
    </row>
    <row r="89" spans="1:6" hidden="1" x14ac:dyDescent="0.25">
      <c r="A89" t="s">
        <v>4</v>
      </c>
      <c r="B89" t="s">
        <v>91</v>
      </c>
      <c r="E89" s="3">
        <f>HYPERLINK("https://sao.dolgi.msk.ru/account/1404177464/", 1404177464)</f>
        <v>1404177464</v>
      </c>
      <c r="F89">
        <v>-2824.09</v>
      </c>
    </row>
    <row r="90" spans="1:6" hidden="1" x14ac:dyDescent="0.25">
      <c r="A90" t="s">
        <v>4</v>
      </c>
      <c r="B90" t="s">
        <v>92</v>
      </c>
      <c r="E90" s="3">
        <f>HYPERLINK("https://sao.dolgi.msk.ru/account/1404176699/", 1404176699)</f>
        <v>1404176699</v>
      </c>
      <c r="F90">
        <v>-3265.84</v>
      </c>
    </row>
    <row r="91" spans="1:6" hidden="1" x14ac:dyDescent="0.25">
      <c r="A91" t="s">
        <v>4</v>
      </c>
      <c r="B91" t="s">
        <v>93</v>
      </c>
      <c r="E91" s="3">
        <f>HYPERLINK("https://sao.dolgi.msk.ru/account/1404174984/", 1404174984)</f>
        <v>1404174984</v>
      </c>
      <c r="F91">
        <v>-3882.54</v>
      </c>
    </row>
    <row r="92" spans="1:6" hidden="1" x14ac:dyDescent="0.25">
      <c r="A92" t="s">
        <v>4</v>
      </c>
      <c r="B92" t="s">
        <v>94</v>
      </c>
      <c r="E92" s="3">
        <f>HYPERLINK("https://sao.dolgi.msk.ru/account/1404176373/", 1404176373)</f>
        <v>1404176373</v>
      </c>
      <c r="F92">
        <v>-3762.36</v>
      </c>
    </row>
    <row r="93" spans="1:6" x14ac:dyDescent="0.25">
      <c r="A93" t="s">
        <v>4</v>
      </c>
      <c r="B93" t="s">
        <v>95</v>
      </c>
      <c r="C93" s="5" t="str">
        <f t="shared" ref="C93:C95" si="6">" кв. "&amp;B93</f>
        <v xml:space="preserve"> кв. 91</v>
      </c>
      <c r="D93" s="5" t="str">
        <f>CONCATENATE(A93,C93)</f>
        <v>Беломорская ул., дом 1 кв. 91</v>
      </c>
      <c r="E93" s="3">
        <f>HYPERLINK("https://sao.dolgi.msk.ru/account/1404174992/", 1404174992)</f>
        <v>1404174992</v>
      </c>
      <c r="F93">
        <v>1942.08</v>
      </c>
    </row>
    <row r="94" spans="1:6" x14ac:dyDescent="0.25">
      <c r="A94" t="s">
        <v>4</v>
      </c>
      <c r="B94" t="s">
        <v>96</v>
      </c>
      <c r="C94" s="5" t="str">
        <f t="shared" si="6"/>
        <v xml:space="preserve"> кв. 92</v>
      </c>
      <c r="D94" s="5" t="str">
        <f>CONCATENATE(A94,C94)</f>
        <v>Беломорская ул., дом 1 кв. 92</v>
      </c>
      <c r="E94" s="3">
        <f>HYPERLINK("https://sao.dolgi.msk.ru/account/1404177122/", 1404177122)</f>
        <v>1404177122</v>
      </c>
      <c r="F94">
        <v>2313.7399999999998</v>
      </c>
    </row>
    <row r="95" spans="1:6" x14ac:dyDescent="0.25">
      <c r="A95" t="s">
        <v>4</v>
      </c>
      <c r="B95" t="s">
        <v>97</v>
      </c>
      <c r="C95" s="5" t="str">
        <f t="shared" si="6"/>
        <v xml:space="preserve"> кв. 93</v>
      </c>
      <c r="D95" s="5" t="str">
        <f>CONCATENATE(A95,C95)</f>
        <v>Беломорская ул., дом 1 кв. 93</v>
      </c>
      <c r="E95" s="3">
        <f>HYPERLINK("https://sao.dolgi.msk.ru/account/1404177149/", 1404177149)</f>
        <v>1404177149</v>
      </c>
      <c r="F95">
        <v>1987.94</v>
      </c>
    </row>
    <row r="96" spans="1:6" hidden="1" x14ac:dyDescent="0.25">
      <c r="A96" t="s">
        <v>4</v>
      </c>
      <c r="B96" t="s">
        <v>98</v>
      </c>
      <c r="E96" s="3">
        <f>HYPERLINK("https://sao.dolgi.msk.ru/account/1404175338/", 1404175338)</f>
        <v>1404175338</v>
      </c>
      <c r="F96">
        <v>-3164.62</v>
      </c>
    </row>
    <row r="97" spans="1:6" hidden="1" x14ac:dyDescent="0.25">
      <c r="A97" t="s">
        <v>4</v>
      </c>
      <c r="B97" t="s">
        <v>99</v>
      </c>
      <c r="E97" s="3">
        <f>HYPERLINK("https://sao.dolgi.msk.ru/account/1404175346/", 1404175346)</f>
        <v>1404175346</v>
      </c>
      <c r="F97">
        <v>0</v>
      </c>
    </row>
    <row r="98" spans="1:6" x14ac:dyDescent="0.25">
      <c r="A98" t="s">
        <v>4</v>
      </c>
      <c r="B98" t="s">
        <v>100</v>
      </c>
      <c r="C98" s="5" t="str">
        <f>" кв. "&amp;B98</f>
        <v xml:space="preserve"> кв. 96</v>
      </c>
      <c r="D98" s="5" t="str">
        <f>CONCATENATE(A98,C98)</f>
        <v>Беломорская ул., дом 1 кв. 96</v>
      </c>
      <c r="E98" s="3">
        <f>HYPERLINK("https://sao.dolgi.msk.ru/account/1404176963/", 1404176963)</f>
        <v>1404176963</v>
      </c>
      <c r="F98">
        <v>2122.37</v>
      </c>
    </row>
    <row r="99" spans="1:6" hidden="1" x14ac:dyDescent="0.25">
      <c r="A99" t="s">
        <v>4</v>
      </c>
      <c r="B99" t="s">
        <v>101</v>
      </c>
      <c r="E99" s="3">
        <f>HYPERLINK("https://sao.dolgi.msk.ru/account/1404177472/", 1404177472)</f>
        <v>1404177472</v>
      </c>
      <c r="F99">
        <v>-2931.34</v>
      </c>
    </row>
    <row r="100" spans="1:6" hidden="1" x14ac:dyDescent="0.25">
      <c r="A100" t="s">
        <v>4</v>
      </c>
      <c r="B100" t="s">
        <v>102</v>
      </c>
      <c r="E100" s="3">
        <f>HYPERLINK("https://sao.dolgi.msk.ru/account/1404175004/", 1404175004)</f>
        <v>1404175004</v>
      </c>
      <c r="F100">
        <v>-3748.49</v>
      </c>
    </row>
    <row r="101" spans="1:6" hidden="1" x14ac:dyDescent="0.25">
      <c r="A101" t="s">
        <v>4</v>
      </c>
      <c r="B101" t="s">
        <v>103</v>
      </c>
      <c r="E101" s="3">
        <f>HYPERLINK("https://sao.dolgi.msk.ru/account/1404175733/", 1404175733)</f>
        <v>1404175733</v>
      </c>
      <c r="F101">
        <v>-1991.74</v>
      </c>
    </row>
    <row r="102" spans="1:6" x14ac:dyDescent="0.25">
      <c r="A102" t="s">
        <v>4</v>
      </c>
      <c r="B102" t="s">
        <v>104</v>
      </c>
      <c r="C102" s="5" t="str">
        <f>" кв. "&amp;B102</f>
        <v xml:space="preserve"> кв. 100</v>
      </c>
      <c r="D102" s="5" t="str">
        <f>CONCATENATE(A102,C102)</f>
        <v>Беломорская ул., дом 1 кв. 100</v>
      </c>
      <c r="E102" s="3">
        <f>HYPERLINK("https://sao.dolgi.msk.ru/account/1404175688/", 1404175688)</f>
        <v>1404175688</v>
      </c>
      <c r="F102">
        <v>2625.29</v>
      </c>
    </row>
    <row r="103" spans="1:6" hidden="1" x14ac:dyDescent="0.25">
      <c r="A103" t="s">
        <v>4</v>
      </c>
      <c r="B103" t="s">
        <v>105</v>
      </c>
      <c r="E103" s="3">
        <f>HYPERLINK("https://sao.dolgi.msk.ru/account/1404177042/", 1404177042)</f>
        <v>1404177042</v>
      </c>
      <c r="F103">
        <v>-3096.79</v>
      </c>
    </row>
    <row r="104" spans="1:6" hidden="1" x14ac:dyDescent="0.25">
      <c r="A104" t="s">
        <v>4</v>
      </c>
      <c r="B104" t="s">
        <v>106</v>
      </c>
      <c r="E104" s="3">
        <f>HYPERLINK("https://sao.dolgi.msk.ru/account/1404176752/", 1404176752)</f>
        <v>1404176752</v>
      </c>
      <c r="F104">
        <v>0</v>
      </c>
    </row>
    <row r="105" spans="1:6" hidden="1" x14ac:dyDescent="0.25">
      <c r="A105" t="s">
        <v>4</v>
      </c>
      <c r="B105" t="s">
        <v>107</v>
      </c>
      <c r="E105" s="3">
        <f>HYPERLINK("https://sao.dolgi.msk.ru/account/1404177077/", 1404177077)</f>
        <v>1404177077</v>
      </c>
      <c r="F105">
        <v>-2810.22</v>
      </c>
    </row>
    <row r="106" spans="1:6" x14ac:dyDescent="0.25">
      <c r="A106" t="s">
        <v>4</v>
      </c>
      <c r="B106" t="s">
        <v>108</v>
      </c>
      <c r="C106" s="5" t="str">
        <f>" кв. "&amp;B106</f>
        <v xml:space="preserve"> кв. 104</v>
      </c>
      <c r="D106" s="5" t="str">
        <f>CONCATENATE(A106,C106)</f>
        <v>Беломорская ул., дом 1 кв. 104</v>
      </c>
      <c r="E106" s="3">
        <f>HYPERLINK("https://sao.dolgi.msk.ru/account/1404175709/", 1404175709)</f>
        <v>1404175709</v>
      </c>
      <c r="F106">
        <v>1336.37</v>
      </c>
    </row>
    <row r="107" spans="1:6" hidden="1" x14ac:dyDescent="0.25">
      <c r="A107" t="s">
        <v>4</v>
      </c>
      <c r="B107" t="s">
        <v>109</v>
      </c>
      <c r="E107" s="3">
        <f>HYPERLINK("https://sao.dolgi.msk.ru/account/1404175434/", 1404175434)</f>
        <v>1404175434</v>
      </c>
      <c r="F107">
        <v>-2746.18</v>
      </c>
    </row>
    <row r="108" spans="1:6" hidden="1" x14ac:dyDescent="0.25">
      <c r="A108" t="s">
        <v>4</v>
      </c>
      <c r="B108" t="s">
        <v>110</v>
      </c>
      <c r="E108" s="3">
        <f>HYPERLINK("https://sao.dolgi.msk.ru/account/1404176015/", 1404176015)</f>
        <v>1404176015</v>
      </c>
      <c r="F108">
        <v>0</v>
      </c>
    </row>
    <row r="109" spans="1:6" hidden="1" x14ac:dyDescent="0.25">
      <c r="A109" t="s">
        <v>4</v>
      </c>
      <c r="B109" t="s">
        <v>111</v>
      </c>
      <c r="E109" s="3">
        <f>HYPERLINK("https://sao.dolgi.msk.ru/account/1404175442/", 1404175442)</f>
        <v>1404175442</v>
      </c>
      <c r="F109">
        <v>-651.71</v>
      </c>
    </row>
    <row r="110" spans="1:6" hidden="1" x14ac:dyDescent="0.25">
      <c r="A110" t="s">
        <v>4</v>
      </c>
      <c r="B110" t="s">
        <v>112</v>
      </c>
      <c r="E110" s="3">
        <f>HYPERLINK("https://sao.dolgi.msk.ru/account/1404177085/", 1404177085)</f>
        <v>1404177085</v>
      </c>
      <c r="F110">
        <v>-3222.14</v>
      </c>
    </row>
    <row r="111" spans="1:6" hidden="1" x14ac:dyDescent="0.25">
      <c r="A111" t="s">
        <v>4</v>
      </c>
      <c r="B111" t="s">
        <v>113</v>
      </c>
      <c r="E111" s="3">
        <f>HYPERLINK("https://sao.dolgi.msk.ru/account/1404175063/", 1404175063)</f>
        <v>1404175063</v>
      </c>
      <c r="F111">
        <v>-4840.3599999999997</v>
      </c>
    </row>
    <row r="112" spans="1:6" hidden="1" x14ac:dyDescent="0.25">
      <c r="A112" t="s">
        <v>4</v>
      </c>
      <c r="B112" t="s">
        <v>114</v>
      </c>
      <c r="E112" s="3">
        <f>HYPERLINK("https://sao.dolgi.msk.ru/account/1404175071/", 1404175071)</f>
        <v>1404175071</v>
      </c>
      <c r="F112">
        <v>-3369.49</v>
      </c>
    </row>
    <row r="113" spans="1:6" hidden="1" x14ac:dyDescent="0.25">
      <c r="A113" t="s">
        <v>4</v>
      </c>
      <c r="B113" t="s">
        <v>115</v>
      </c>
      <c r="E113" s="3">
        <f>HYPERLINK("https://sao.dolgi.msk.ru/account/1404175717/", 1404175717)</f>
        <v>1404175717</v>
      </c>
      <c r="F113">
        <v>0</v>
      </c>
    </row>
    <row r="114" spans="1:6" hidden="1" x14ac:dyDescent="0.25">
      <c r="A114" t="s">
        <v>4</v>
      </c>
      <c r="B114" t="s">
        <v>116</v>
      </c>
      <c r="E114" s="3">
        <f>HYPERLINK("https://sao.dolgi.msk.ru/account/1404175469/", 1404175469)</f>
        <v>1404175469</v>
      </c>
      <c r="F114">
        <v>-6492.74</v>
      </c>
    </row>
    <row r="115" spans="1:6" x14ac:dyDescent="0.25">
      <c r="A115" t="s">
        <v>4</v>
      </c>
      <c r="B115" t="s">
        <v>117</v>
      </c>
      <c r="C115" s="5" t="str">
        <f t="shared" ref="C115:C116" si="7">" кв. "&amp;B115</f>
        <v xml:space="preserve"> кв. 113</v>
      </c>
      <c r="D115" s="5" t="str">
        <f>CONCATENATE(A115,C115)</f>
        <v>Беломорская ул., дом 1 кв. 113</v>
      </c>
      <c r="E115" s="3">
        <f>HYPERLINK("https://sao.dolgi.msk.ru/account/1404177093/", 1404177093)</f>
        <v>1404177093</v>
      </c>
      <c r="F115">
        <v>2133.25</v>
      </c>
    </row>
    <row r="116" spans="1:6" x14ac:dyDescent="0.25">
      <c r="A116" t="s">
        <v>4</v>
      </c>
      <c r="B116" t="s">
        <v>118</v>
      </c>
      <c r="C116" s="5" t="str">
        <f t="shared" si="7"/>
        <v xml:space="preserve"> кв. 114</v>
      </c>
      <c r="D116" s="5" t="str">
        <f>CONCATENATE(A116,C116)</f>
        <v>Беломорская ул., дом 1 кв. 114</v>
      </c>
      <c r="E116" s="3">
        <f>HYPERLINK("https://sao.dolgi.msk.ru/account/1404177106/", 1404177106)</f>
        <v>1404177106</v>
      </c>
      <c r="F116">
        <v>2165.0500000000002</v>
      </c>
    </row>
    <row r="117" spans="1:6" hidden="1" x14ac:dyDescent="0.25">
      <c r="A117" t="s">
        <v>4</v>
      </c>
      <c r="B117" t="s">
        <v>119</v>
      </c>
      <c r="E117" s="3">
        <f>HYPERLINK("https://sao.dolgi.msk.ru/account/1404175725/", 1404175725)</f>
        <v>1404175725</v>
      </c>
      <c r="F117">
        <v>-1650.94</v>
      </c>
    </row>
    <row r="118" spans="1:6" x14ac:dyDescent="0.25">
      <c r="A118" t="s">
        <v>4</v>
      </c>
      <c r="B118" t="s">
        <v>120</v>
      </c>
      <c r="C118" s="5" t="str">
        <f>" кв. "&amp;B118</f>
        <v xml:space="preserve"> кв. 116</v>
      </c>
      <c r="D118" s="5" t="str">
        <f>CONCATENATE(A118,C118)</f>
        <v>Беломорская ул., дом 1 кв. 116</v>
      </c>
      <c r="E118" s="3">
        <f>HYPERLINK("https://sao.dolgi.msk.ru/account/1404176453/", 1404176453)</f>
        <v>1404176453</v>
      </c>
      <c r="F118">
        <v>1945.43</v>
      </c>
    </row>
    <row r="119" spans="1:6" hidden="1" x14ac:dyDescent="0.25">
      <c r="A119" t="s">
        <v>4</v>
      </c>
      <c r="B119" t="s">
        <v>121</v>
      </c>
      <c r="E119" s="3">
        <f>HYPERLINK("https://sao.dolgi.msk.ru/account/1404177528/", 1404177528)</f>
        <v>1404177528</v>
      </c>
      <c r="F119">
        <v>-3776.23</v>
      </c>
    </row>
    <row r="120" spans="1:6" x14ac:dyDescent="0.25">
      <c r="A120" t="s">
        <v>4</v>
      </c>
      <c r="B120" t="s">
        <v>122</v>
      </c>
      <c r="C120" s="5" t="str">
        <f t="shared" ref="C120:C122" si="8">" кв. "&amp;B120</f>
        <v xml:space="preserve"> кв. 118</v>
      </c>
      <c r="D120" s="5" t="str">
        <f>CONCATENATE(A120,C120)</f>
        <v>Беломорская ул., дом 1 кв. 118</v>
      </c>
      <c r="E120" s="3">
        <f>HYPERLINK("https://sao.dolgi.msk.ru/account/1404177114/", 1404177114)</f>
        <v>1404177114</v>
      </c>
      <c r="F120">
        <v>1473.96</v>
      </c>
    </row>
    <row r="121" spans="1:6" x14ac:dyDescent="0.25">
      <c r="A121" t="s">
        <v>4</v>
      </c>
      <c r="B121" t="s">
        <v>123</v>
      </c>
      <c r="C121" s="5" t="str">
        <f t="shared" si="8"/>
        <v xml:space="preserve"> кв. 119</v>
      </c>
      <c r="D121" s="5" t="str">
        <f>CONCATENATE(A121,C121)</f>
        <v>Беломорская ул., дом 1 кв. 119</v>
      </c>
      <c r="E121" s="3">
        <f>HYPERLINK("https://sao.dolgi.msk.ru/account/1404176779/", 1404176779)</f>
        <v>1404176779</v>
      </c>
      <c r="F121">
        <v>1847.19</v>
      </c>
    </row>
    <row r="122" spans="1:6" x14ac:dyDescent="0.25">
      <c r="A122" t="s">
        <v>4</v>
      </c>
      <c r="B122" t="s">
        <v>124</v>
      </c>
      <c r="C122" s="5" t="str">
        <f t="shared" si="8"/>
        <v xml:space="preserve"> кв. 120</v>
      </c>
      <c r="D122" s="5" t="str">
        <f>CONCATENATE(A122,C122)</f>
        <v>Беломорская ул., дом 1 кв. 120</v>
      </c>
      <c r="E122" s="3">
        <f>HYPERLINK("https://sao.dolgi.msk.ru/account/1404177536/", 1404177536)</f>
        <v>1404177536</v>
      </c>
      <c r="F122">
        <v>2106.5500000000002</v>
      </c>
    </row>
    <row r="123" spans="1:6" hidden="1" x14ac:dyDescent="0.25">
      <c r="A123" t="s">
        <v>4</v>
      </c>
      <c r="B123" t="s">
        <v>125</v>
      </c>
      <c r="E123" s="3">
        <f>HYPERLINK("https://sao.dolgi.msk.ru/account/1404175012/", 1404175012)</f>
        <v>1404175012</v>
      </c>
      <c r="F123">
        <v>-3304.21</v>
      </c>
    </row>
    <row r="124" spans="1:6" x14ac:dyDescent="0.25">
      <c r="A124" t="s">
        <v>4</v>
      </c>
      <c r="B124" t="s">
        <v>126</v>
      </c>
      <c r="C124" s="5" t="str">
        <f t="shared" ref="C124:C125" si="9">" кв. "&amp;B124</f>
        <v xml:space="preserve"> кв. 122</v>
      </c>
      <c r="D124" s="5" t="str">
        <f>CONCATENATE(A124,C124)</f>
        <v>Беломорская ул., дом 1 кв. 122</v>
      </c>
      <c r="E124" s="3">
        <f>HYPERLINK("https://sao.dolgi.msk.ru/account/1404176381/", 1404176381)</f>
        <v>1404176381</v>
      </c>
      <c r="F124">
        <v>1635.27</v>
      </c>
    </row>
    <row r="125" spans="1:6" x14ac:dyDescent="0.25">
      <c r="A125" t="s">
        <v>4</v>
      </c>
      <c r="B125" t="s">
        <v>127</v>
      </c>
      <c r="C125" s="5" t="str">
        <f t="shared" si="9"/>
        <v xml:space="preserve"> кв. 123</v>
      </c>
      <c r="D125" s="5" t="str">
        <f>CONCATENATE(A125,C125)</f>
        <v>Беломорская ул., дом 1 кв. 123</v>
      </c>
      <c r="E125" s="3">
        <f>HYPERLINK("https://sao.dolgi.msk.ru/account/1404176971/", 1404176971)</f>
        <v>1404176971</v>
      </c>
      <c r="F125">
        <v>1233.57</v>
      </c>
    </row>
    <row r="126" spans="1:6" hidden="1" x14ac:dyDescent="0.25">
      <c r="A126" t="s">
        <v>4</v>
      </c>
      <c r="B126" t="s">
        <v>128</v>
      </c>
      <c r="E126" s="3">
        <f>HYPERLINK("https://sao.dolgi.msk.ru/account/1404174757/", 1404174757)</f>
        <v>1404174757</v>
      </c>
      <c r="F126">
        <v>-3219.12</v>
      </c>
    </row>
    <row r="127" spans="1:6" hidden="1" x14ac:dyDescent="0.25">
      <c r="A127" t="s">
        <v>4</v>
      </c>
      <c r="B127" t="s">
        <v>129</v>
      </c>
      <c r="E127" s="3">
        <f>HYPERLINK("https://sao.dolgi.msk.ru/account/1404176082/", 1404176082)</f>
        <v>1404176082</v>
      </c>
      <c r="F127">
        <v>0</v>
      </c>
    </row>
    <row r="128" spans="1:6" hidden="1" x14ac:dyDescent="0.25">
      <c r="A128" t="s">
        <v>4</v>
      </c>
      <c r="B128" t="s">
        <v>130</v>
      </c>
      <c r="E128" s="3">
        <f>HYPERLINK("https://sao.dolgi.msk.ru/account/1404177229/", 1404177229)</f>
        <v>1404177229</v>
      </c>
      <c r="F128">
        <v>-3739.25</v>
      </c>
    </row>
    <row r="129" spans="1:6" hidden="1" x14ac:dyDescent="0.25">
      <c r="A129" t="s">
        <v>4</v>
      </c>
      <c r="B129" t="s">
        <v>131</v>
      </c>
      <c r="E129" s="3">
        <f>HYPERLINK("https://sao.dolgi.msk.ru/account/1404176066/", 1404176066)</f>
        <v>1404176066</v>
      </c>
      <c r="F129">
        <v>-1733.56</v>
      </c>
    </row>
    <row r="130" spans="1:6" hidden="1" x14ac:dyDescent="0.25">
      <c r="A130" t="s">
        <v>4</v>
      </c>
      <c r="B130" t="s">
        <v>132</v>
      </c>
      <c r="E130" s="3">
        <f>HYPERLINK("https://sao.dolgi.msk.ru/account/1404176074/", 1404176074)</f>
        <v>1404176074</v>
      </c>
      <c r="F130">
        <v>0</v>
      </c>
    </row>
    <row r="131" spans="1:6" x14ac:dyDescent="0.25">
      <c r="A131" t="s">
        <v>4</v>
      </c>
      <c r="B131" t="s">
        <v>133</v>
      </c>
      <c r="C131" s="5" t="str">
        <f t="shared" ref="C131:C134" si="10">" кв. "&amp;B131</f>
        <v xml:space="preserve"> кв. 129</v>
      </c>
      <c r="D131" s="5" t="str">
        <f>CONCATENATE(A131,C131)</f>
        <v>Беломорская ул., дом 1 кв. 129</v>
      </c>
      <c r="E131" s="3">
        <f>HYPERLINK("https://sao.dolgi.msk.ru/account/1404176795/", 1404176795)</f>
        <v>1404176795</v>
      </c>
      <c r="F131">
        <v>2637.94</v>
      </c>
    </row>
    <row r="132" spans="1:6" x14ac:dyDescent="0.25">
      <c r="A132" t="s">
        <v>4</v>
      </c>
      <c r="B132" t="s">
        <v>134</v>
      </c>
      <c r="C132" s="5" t="str">
        <f t="shared" si="10"/>
        <v xml:space="preserve"> кв. 130</v>
      </c>
      <c r="D132" s="5" t="str">
        <f>CONCATENATE(A132,C132)</f>
        <v>Беломорская ул., дом 1 кв. 130</v>
      </c>
      <c r="E132" s="3">
        <f>HYPERLINK("https://sao.dolgi.msk.ru/account/1404177245/", 1404177245)</f>
        <v>1404177245</v>
      </c>
      <c r="F132">
        <v>2121.84</v>
      </c>
    </row>
    <row r="133" spans="1:6" x14ac:dyDescent="0.25">
      <c r="A133" t="s">
        <v>4</v>
      </c>
      <c r="B133" t="s">
        <v>135</v>
      </c>
      <c r="C133" s="5" t="str">
        <f t="shared" si="10"/>
        <v xml:space="preserve"> кв. 131</v>
      </c>
      <c r="D133" s="5" t="str">
        <f>CONCATENATE(A133,C133)</f>
        <v>Беломорская ул., дом 1 кв. 131</v>
      </c>
      <c r="E133" s="3">
        <f>HYPERLINK("https://sao.dolgi.msk.ru/account/1404177157/", 1404177157)</f>
        <v>1404177157</v>
      </c>
      <c r="F133">
        <v>1432.83</v>
      </c>
    </row>
    <row r="134" spans="1:6" x14ac:dyDescent="0.25">
      <c r="A134" t="s">
        <v>4</v>
      </c>
      <c r="B134" t="s">
        <v>136</v>
      </c>
      <c r="C134" s="5" t="str">
        <f t="shared" si="10"/>
        <v xml:space="preserve"> кв. 132</v>
      </c>
      <c r="D134" s="5" t="str">
        <f>CONCATENATE(A134,C134)</f>
        <v>Беломорская ул., дом 1 кв. 132</v>
      </c>
      <c r="E134" s="3">
        <f>HYPERLINK("https://sao.dolgi.msk.ru/account/1404177165/", 1404177165)</f>
        <v>1404177165</v>
      </c>
      <c r="F134">
        <v>1568.85</v>
      </c>
    </row>
    <row r="135" spans="1:6" hidden="1" x14ac:dyDescent="0.25">
      <c r="A135" t="s">
        <v>4</v>
      </c>
      <c r="B135" t="s">
        <v>137</v>
      </c>
      <c r="E135" s="3">
        <f>HYPERLINK("https://sao.dolgi.msk.ru/account/1404176023/", 1404176023)</f>
        <v>1404176023</v>
      </c>
      <c r="F135">
        <v>-3831.69</v>
      </c>
    </row>
    <row r="136" spans="1:6" hidden="1" x14ac:dyDescent="0.25">
      <c r="A136" t="s">
        <v>4</v>
      </c>
      <c r="B136" t="s">
        <v>138</v>
      </c>
      <c r="E136" s="3">
        <f>HYPERLINK("https://sao.dolgi.msk.ru/account/1404177173/", 1404177173)</f>
        <v>1404177173</v>
      </c>
      <c r="F136">
        <v>-3702.28</v>
      </c>
    </row>
    <row r="137" spans="1:6" x14ac:dyDescent="0.25">
      <c r="A137" t="s">
        <v>4</v>
      </c>
      <c r="B137" t="s">
        <v>139</v>
      </c>
      <c r="C137" s="5" t="str">
        <f>" кв. "&amp;B137</f>
        <v xml:space="preserve"> кв. 135</v>
      </c>
      <c r="D137" s="5" t="str">
        <f>CONCATENATE(A137,C137)</f>
        <v>Беломорская ул., дом 1 кв. 135</v>
      </c>
      <c r="E137" s="3">
        <f>HYPERLINK("https://sao.dolgi.msk.ru/account/1404175485/", 1404175485)</f>
        <v>1404175485</v>
      </c>
      <c r="F137">
        <v>1935.76</v>
      </c>
    </row>
    <row r="138" spans="1:6" hidden="1" x14ac:dyDescent="0.25">
      <c r="A138" t="s">
        <v>4</v>
      </c>
      <c r="B138" t="s">
        <v>140</v>
      </c>
      <c r="E138" s="3">
        <f>HYPERLINK("https://sao.dolgi.msk.ru/account/1404176031/", 1404176031)</f>
        <v>1404176031</v>
      </c>
      <c r="F138">
        <v>-3928.75</v>
      </c>
    </row>
    <row r="139" spans="1:6" x14ac:dyDescent="0.25">
      <c r="A139" t="s">
        <v>4</v>
      </c>
      <c r="B139" t="s">
        <v>141</v>
      </c>
      <c r="C139" s="5" t="str">
        <f>" кв. "&amp;B139</f>
        <v xml:space="preserve"> кв. 137</v>
      </c>
      <c r="D139" s="5" t="str">
        <f>CONCATENATE(A139,C139)</f>
        <v>Беломорская ул., дом 1 кв. 137</v>
      </c>
      <c r="E139" s="3">
        <f>HYPERLINK("https://sao.dolgi.msk.ru/account/1404174706/", 1404174706)</f>
        <v>1404174706</v>
      </c>
      <c r="F139">
        <v>2641.11</v>
      </c>
    </row>
    <row r="140" spans="1:6" hidden="1" x14ac:dyDescent="0.25">
      <c r="A140" t="s">
        <v>4</v>
      </c>
      <c r="B140" t="s">
        <v>142</v>
      </c>
      <c r="E140" s="3">
        <f>HYPERLINK("https://sao.dolgi.msk.ru/account/1404174714/", 1404174714)</f>
        <v>1404174714</v>
      </c>
      <c r="F140">
        <v>0</v>
      </c>
    </row>
    <row r="141" spans="1:6" hidden="1" x14ac:dyDescent="0.25">
      <c r="A141" t="s">
        <v>4</v>
      </c>
      <c r="B141" t="s">
        <v>143</v>
      </c>
      <c r="E141" s="3">
        <f>HYPERLINK("https://sao.dolgi.msk.ru/account/1404175098/", 1404175098)</f>
        <v>1404175098</v>
      </c>
      <c r="F141">
        <v>-1713.48</v>
      </c>
    </row>
    <row r="142" spans="1:6" hidden="1" x14ac:dyDescent="0.25">
      <c r="A142" t="s">
        <v>4</v>
      </c>
      <c r="B142" t="s">
        <v>144</v>
      </c>
      <c r="E142" s="3">
        <f>HYPERLINK("https://sao.dolgi.msk.ru/account/1404176058/", 1404176058)</f>
        <v>1404176058</v>
      </c>
      <c r="F142">
        <v>0</v>
      </c>
    </row>
    <row r="143" spans="1:6" hidden="1" x14ac:dyDescent="0.25">
      <c r="A143" t="s">
        <v>4</v>
      </c>
      <c r="B143" t="s">
        <v>145</v>
      </c>
      <c r="E143" s="3">
        <f>HYPERLINK("https://sao.dolgi.msk.ru/account/1404175741/", 1404175741)</f>
        <v>1404175741</v>
      </c>
      <c r="F143">
        <v>-3207.45</v>
      </c>
    </row>
    <row r="144" spans="1:6" x14ac:dyDescent="0.25">
      <c r="A144" t="s">
        <v>4</v>
      </c>
      <c r="B144" t="s">
        <v>146</v>
      </c>
      <c r="C144" s="5" t="str">
        <f>" кв. "&amp;B144</f>
        <v xml:space="preserve"> кв. 142</v>
      </c>
      <c r="D144" s="5" t="str">
        <f>CONCATENATE(A144,C144)</f>
        <v>Беломорская ул., дом 1 кв. 142</v>
      </c>
      <c r="E144" s="3">
        <f>HYPERLINK("https://sao.dolgi.msk.ru/account/1404175119/", 1404175119)</f>
        <v>1404175119</v>
      </c>
      <c r="F144">
        <v>2524.0700000000002</v>
      </c>
    </row>
    <row r="145" spans="1:6" hidden="1" x14ac:dyDescent="0.25">
      <c r="A145" t="s">
        <v>4</v>
      </c>
      <c r="B145" t="s">
        <v>147</v>
      </c>
      <c r="E145" s="3">
        <f>HYPERLINK("https://sao.dolgi.msk.ru/account/1404177202/", 1404177202)</f>
        <v>1404177202</v>
      </c>
      <c r="F145">
        <v>-1398.19</v>
      </c>
    </row>
    <row r="146" spans="1:6" hidden="1" x14ac:dyDescent="0.25">
      <c r="A146" t="s">
        <v>4</v>
      </c>
      <c r="B146" t="s">
        <v>148</v>
      </c>
      <c r="E146" s="3">
        <f>HYPERLINK("https://sao.dolgi.msk.ru/account/1404174722/", 1404174722)</f>
        <v>1404174722</v>
      </c>
      <c r="F146">
        <v>0</v>
      </c>
    </row>
    <row r="147" spans="1:6" x14ac:dyDescent="0.25">
      <c r="A147" t="s">
        <v>4</v>
      </c>
      <c r="B147" t="s">
        <v>149</v>
      </c>
      <c r="C147" s="5" t="str">
        <f>" кв. "&amp;B147</f>
        <v xml:space="preserve"> кв. 145</v>
      </c>
      <c r="D147" s="5" t="str">
        <f>CONCATENATE(A147,C147)</f>
        <v>Беломорская ул., дом 1 кв. 145</v>
      </c>
      <c r="E147" s="3">
        <f>HYPERLINK("https://sao.dolgi.msk.ru/account/1404176787/", 1404176787)</f>
        <v>1404176787</v>
      </c>
      <c r="F147">
        <v>2618.96</v>
      </c>
    </row>
    <row r="148" spans="1:6" hidden="1" x14ac:dyDescent="0.25">
      <c r="A148" t="s">
        <v>4</v>
      </c>
      <c r="B148" t="s">
        <v>150</v>
      </c>
      <c r="E148" s="3">
        <f>HYPERLINK("https://sao.dolgi.msk.ru/account/1404175493/", 1404175493)</f>
        <v>1404175493</v>
      </c>
      <c r="F148">
        <v>-2962.74</v>
      </c>
    </row>
    <row r="149" spans="1:6" x14ac:dyDescent="0.25">
      <c r="A149" t="s">
        <v>4</v>
      </c>
      <c r="B149" t="s">
        <v>151</v>
      </c>
      <c r="C149" s="5" t="str">
        <f t="shared" ref="C149:C150" si="11">" кв. "&amp;B149</f>
        <v xml:space="preserve"> кв. 147</v>
      </c>
      <c r="D149" s="5" t="str">
        <f>CONCATENATE(A149,C149)</f>
        <v>Беломорская ул., дом 1 кв. 147</v>
      </c>
      <c r="E149" s="3">
        <f>HYPERLINK("https://sao.dolgi.msk.ru/account/1404174749/", 1404174749)</f>
        <v>1404174749</v>
      </c>
      <c r="F149">
        <v>1420.18</v>
      </c>
    </row>
    <row r="150" spans="1:6" x14ac:dyDescent="0.25">
      <c r="A150" t="s">
        <v>4</v>
      </c>
      <c r="B150" t="s">
        <v>152</v>
      </c>
      <c r="C150" s="5" t="str">
        <f t="shared" si="11"/>
        <v xml:space="preserve"> кв. 148</v>
      </c>
      <c r="D150" s="5" t="str">
        <f>CONCATENATE(A150,C150)</f>
        <v>Беломорская ул., дом 1 кв. 148</v>
      </c>
      <c r="E150" s="3">
        <f>HYPERLINK("https://sao.dolgi.msk.ru/account/1404175274/", 1404175274)</f>
        <v>1404175274</v>
      </c>
      <c r="F150">
        <v>2037.77</v>
      </c>
    </row>
    <row r="151" spans="1:6" hidden="1" x14ac:dyDescent="0.25">
      <c r="A151" t="s">
        <v>4</v>
      </c>
      <c r="B151" t="s">
        <v>153</v>
      </c>
      <c r="E151" s="3">
        <f>HYPERLINK("https://sao.dolgi.msk.ru/account/1404175813/", 1404175813)</f>
        <v>1404175813</v>
      </c>
      <c r="F151">
        <v>0</v>
      </c>
    </row>
    <row r="152" spans="1:6" hidden="1" x14ac:dyDescent="0.25">
      <c r="A152" t="s">
        <v>4</v>
      </c>
      <c r="B152" t="s">
        <v>154</v>
      </c>
      <c r="E152" s="3">
        <f>HYPERLINK("https://sao.dolgi.msk.ru/account/1404175565/", 1404175565)</f>
        <v>1404175565</v>
      </c>
      <c r="F152">
        <v>-2976.61</v>
      </c>
    </row>
    <row r="153" spans="1:6" hidden="1" x14ac:dyDescent="0.25">
      <c r="A153" t="s">
        <v>4</v>
      </c>
      <c r="B153" t="s">
        <v>155</v>
      </c>
      <c r="E153" s="3">
        <f>HYPERLINK("https://sao.dolgi.msk.ru/account/1404176891/", 1404176891)</f>
        <v>1404176891</v>
      </c>
      <c r="F153">
        <v>-1860.82</v>
      </c>
    </row>
    <row r="154" spans="1:6" x14ac:dyDescent="0.25">
      <c r="A154" t="s">
        <v>4</v>
      </c>
      <c r="B154" t="s">
        <v>156</v>
      </c>
      <c r="C154" s="5" t="str">
        <f>" кв. "&amp;B154</f>
        <v xml:space="preserve"> кв. 152</v>
      </c>
      <c r="D154" s="5" t="str">
        <f>CONCATENATE(A154,C154)</f>
        <v>Беломорская ул., дом 1 кв. 152</v>
      </c>
      <c r="E154" s="3">
        <f>HYPERLINK("https://sao.dolgi.msk.ru/account/1404176584/", 1404176584)</f>
        <v>1404176584</v>
      </c>
      <c r="F154">
        <v>1597.32</v>
      </c>
    </row>
    <row r="155" spans="1:6" hidden="1" x14ac:dyDescent="0.25">
      <c r="A155" t="s">
        <v>4</v>
      </c>
      <c r="B155" t="s">
        <v>157</v>
      </c>
      <c r="E155" s="3">
        <f>HYPERLINK("https://sao.dolgi.msk.ru/account/1404175573/", 1404175573)</f>
        <v>1404175573</v>
      </c>
      <c r="F155">
        <v>-2461.5100000000002</v>
      </c>
    </row>
    <row r="156" spans="1:6" hidden="1" x14ac:dyDescent="0.25">
      <c r="A156" t="s">
        <v>4</v>
      </c>
      <c r="B156" t="s">
        <v>158</v>
      </c>
      <c r="E156" s="3">
        <f>HYPERLINK("https://sao.dolgi.msk.ru/account/1404177368/", 1404177368)</f>
        <v>1404177368</v>
      </c>
      <c r="F156">
        <v>-3538.14</v>
      </c>
    </row>
    <row r="157" spans="1:6" hidden="1" x14ac:dyDescent="0.25">
      <c r="A157" t="s">
        <v>4</v>
      </c>
      <c r="B157" t="s">
        <v>159</v>
      </c>
      <c r="E157" s="3">
        <f>HYPERLINK("https://sao.dolgi.msk.ru/account/1404177376/", 1404177376)</f>
        <v>1404177376</v>
      </c>
      <c r="F157">
        <v>-1853.43</v>
      </c>
    </row>
    <row r="158" spans="1:6" hidden="1" x14ac:dyDescent="0.25">
      <c r="A158" t="s">
        <v>4</v>
      </c>
      <c r="B158" t="s">
        <v>160</v>
      </c>
      <c r="E158" s="3">
        <f>HYPERLINK("https://sao.dolgi.msk.ru/account/1404176269/", 1404176269)</f>
        <v>1404176269</v>
      </c>
      <c r="F158">
        <v>-2118.19</v>
      </c>
    </row>
    <row r="159" spans="1:6" hidden="1" x14ac:dyDescent="0.25">
      <c r="A159" t="s">
        <v>4</v>
      </c>
      <c r="B159" t="s">
        <v>161</v>
      </c>
      <c r="E159" s="3">
        <f>HYPERLINK("https://sao.dolgi.msk.ru/account/1404176592/", 1404176592)</f>
        <v>1404176592</v>
      </c>
      <c r="F159">
        <v>0</v>
      </c>
    </row>
    <row r="160" spans="1:6" hidden="1" x14ac:dyDescent="0.25">
      <c r="A160" t="s">
        <v>4</v>
      </c>
      <c r="B160" t="s">
        <v>162</v>
      </c>
      <c r="E160" s="3">
        <f>HYPERLINK("https://sao.dolgi.msk.ru/account/1404175821/", 1404175821)</f>
        <v>1404175821</v>
      </c>
      <c r="F160">
        <v>-3229.72</v>
      </c>
    </row>
    <row r="161" spans="1:6" x14ac:dyDescent="0.25">
      <c r="A161" t="s">
        <v>4</v>
      </c>
      <c r="B161" t="s">
        <v>163</v>
      </c>
      <c r="C161" s="5" t="str">
        <f>" кв. "&amp;B161</f>
        <v xml:space="preserve"> кв. 159</v>
      </c>
      <c r="D161" s="5" t="str">
        <f>CONCATENATE(A161,C161)</f>
        <v>Беломорская ул., дом 1 кв. 159</v>
      </c>
      <c r="E161" s="3">
        <f>HYPERLINK("https://sao.dolgi.msk.ru/account/1404177384/", 1404177384)</f>
        <v>1404177384</v>
      </c>
      <c r="F161">
        <v>1449.55</v>
      </c>
    </row>
    <row r="162" spans="1:6" hidden="1" x14ac:dyDescent="0.25">
      <c r="A162" t="s">
        <v>4</v>
      </c>
      <c r="B162" t="s">
        <v>164</v>
      </c>
      <c r="E162" s="3">
        <f>HYPERLINK("https://sao.dolgi.msk.ru/account/1404177392/", 1404177392)</f>
        <v>1404177392</v>
      </c>
      <c r="F162">
        <v>-2289.92</v>
      </c>
    </row>
    <row r="163" spans="1:6" hidden="1" x14ac:dyDescent="0.25">
      <c r="A163" t="s">
        <v>4</v>
      </c>
      <c r="B163" t="s">
        <v>165</v>
      </c>
      <c r="E163" s="3">
        <f>HYPERLINK("https://sao.dolgi.msk.ru/account/1404175848/", 1404175848)</f>
        <v>1404175848</v>
      </c>
      <c r="F163">
        <v>0</v>
      </c>
    </row>
    <row r="164" spans="1:6" hidden="1" x14ac:dyDescent="0.25">
      <c r="A164" t="s">
        <v>4</v>
      </c>
      <c r="B164" t="s">
        <v>166</v>
      </c>
      <c r="E164" s="3">
        <f>HYPERLINK("https://sao.dolgi.msk.ru/account/1404176437/", 1404176437)</f>
        <v>1404176437</v>
      </c>
      <c r="F164">
        <v>-3854.8</v>
      </c>
    </row>
    <row r="165" spans="1:6" hidden="1" x14ac:dyDescent="0.25">
      <c r="A165" t="s">
        <v>4</v>
      </c>
      <c r="B165" t="s">
        <v>167</v>
      </c>
      <c r="E165" s="3">
        <f>HYPERLINK("https://sao.dolgi.msk.ru/account/1404175426/", 1404175426)</f>
        <v>1404175426</v>
      </c>
      <c r="F165">
        <v>-2549.31</v>
      </c>
    </row>
    <row r="166" spans="1:6" hidden="1" x14ac:dyDescent="0.25">
      <c r="A166" t="s">
        <v>4</v>
      </c>
      <c r="B166" t="s">
        <v>168</v>
      </c>
      <c r="E166" s="3">
        <f>HYPERLINK("https://sao.dolgi.msk.ru/account/1404177069/", 1404177069)</f>
        <v>1404177069</v>
      </c>
      <c r="F166">
        <v>-2285.96</v>
      </c>
    </row>
    <row r="167" spans="1:6" hidden="1" x14ac:dyDescent="0.25">
      <c r="A167" t="s">
        <v>4</v>
      </c>
      <c r="B167" t="s">
        <v>169</v>
      </c>
      <c r="E167" s="3">
        <f>HYPERLINK("https://sao.dolgi.msk.ru/account/1404177499/", 1404177499)</f>
        <v>1404177499</v>
      </c>
      <c r="F167">
        <v>0</v>
      </c>
    </row>
    <row r="168" spans="1:6" x14ac:dyDescent="0.25">
      <c r="A168" t="s">
        <v>4</v>
      </c>
      <c r="B168" t="s">
        <v>170</v>
      </c>
      <c r="C168" s="5" t="str">
        <f t="shared" ref="C168:C170" si="12">" кв. "&amp;B168</f>
        <v xml:space="preserve"> кв. 166</v>
      </c>
      <c r="D168" s="5" t="str">
        <f>CONCATENATE(A168,C168)</f>
        <v>Беломорская ул., дом 1 кв. 166</v>
      </c>
      <c r="E168" s="3">
        <f>HYPERLINK("https://sao.dolgi.msk.ru/account/1404175987/", 1404175987)</f>
        <v>1404175987</v>
      </c>
      <c r="F168">
        <v>1273.1099999999999</v>
      </c>
    </row>
    <row r="169" spans="1:6" x14ac:dyDescent="0.25">
      <c r="A169" t="s">
        <v>4</v>
      </c>
      <c r="B169" t="s">
        <v>171</v>
      </c>
      <c r="C169" s="5" t="str">
        <f t="shared" si="12"/>
        <v xml:space="preserve"> кв. 167</v>
      </c>
      <c r="D169" s="5" t="str">
        <f>CONCATENATE(A169,C169)</f>
        <v>Беломорская ул., дом 1 кв. 167</v>
      </c>
      <c r="E169" s="3">
        <f>HYPERLINK("https://sao.dolgi.msk.ru/account/1404175995/", 1404175995)</f>
        <v>1404175995</v>
      </c>
      <c r="F169">
        <v>1964.22</v>
      </c>
    </row>
    <row r="170" spans="1:6" x14ac:dyDescent="0.25">
      <c r="A170" t="s">
        <v>4</v>
      </c>
      <c r="B170" t="s">
        <v>172</v>
      </c>
      <c r="C170" s="5" t="str">
        <f t="shared" si="12"/>
        <v xml:space="preserve"> кв. 168</v>
      </c>
      <c r="D170" s="5" t="str">
        <f>CONCATENATE(A170,C170)</f>
        <v>Беломорская ул., дом 1 кв. 168</v>
      </c>
      <c r="E170" s="3">
        <f>HYPERLINK("https://sao.dolgi.msk.ru/account/1404175696/", 1404175696)</f>
        <v>1404175696</v>
      </c>
      <c r="F170">
        <v>2482.96</v>
      </c>
    </row>
    <row r="171" spans="1:6" hidden="1" x14ac:dyDescent="0.25">
      <c r="A171" t="s">
        <v>4</v>
      </c>
      <c r="B171" t="s">
        <v>173</v>
      </c>
      <c r="E171" s="3">
        <f>HYPERLINK("https://sao.dolgi.msk.ru/account/1404177501/", 1404177501)</f>
        <v>1404177501</v>
      </c>
      <c r="F171">
        <v>-3560.04</v>
      </c>
    </row>
    <row r="172" spans="1:6" hidden="1" x14ac:dyDescent="0.25">
      <c r="A172" t="s">
        <v>4</v>
      </c>
      <c r="B172" t="s">
        <v>174</v>
      </c>
      <c r="E172" s="3">
        <f>HYPERLINK("https://sao.dolgi.msk.ru/account/1404175055/", 1404175055)</f>
        <v>1404175055</v>
      </c>
      <c r="F172">
        <v>0</v>
      </c>
    </row>
    <row r="173" spans="1:6" x14ac:dyDescent="0.25">
      <c r="A173" t="s">
        <v>4</v>
      </c>
      <c r="B173" t="s">
        <v>175</v>
      </c>
      <c r="C173" s="5" t="str">
        <f t="shared" ref="C173:C174" si="13">" кв. "&amp;B173</f>
        <v xml:space="preserve"> кв. 171</v>
      </c>
      <c r="D173" s="5" t="str">
        <f>CONCATENATE(A173,C173)</f>
        <v>Беломорская ул., дом 1 кв. 171</v>
      </c>
      <c r="E173" s="3">
        <f>HYPERLINK("https://sao.dolgi.msk.ru/account/1404176357/", 1404176357)</f>
        <v>1404176357</v>
      </c>
      <c r="F173">
        <v>2530.4</v>
      </c>
    </row>
    <row r="174" spans="1:6" x14ac:dyDescent="0.25">
      <c r="A174" t="s">
        <v>4</v>
      </c>
      <c r="B174" t="s">
        <v>176</v>
      </c>
      <c r="C174" s="5" t="str">
        <f t="shared" si="13"/>
        <v xml:space="preserve"> кв. 172</v>
      </c>
      <c r="D174" s="5" t="str">
        <f>CONCATENATE(A174,C174)</f>
        <v>Беломорская ул., дом 1 кв. 172</v>
      </c>
      <c r="E174" s="3">
        <f>HYPERLINK("https://sao.dolgi.msk.ru/account/1404176365/", 1404176365)</f>
        <v>1404176365</v>
      </c>
      <c r="F174">
        <v>1748.08</v>
      </c>
    </row>
    <row r="175" spans="1:6" hidden="1" x14ac:dyDescent="0.25">
      <c r="A175" t="s">
        <v>4</v>
      </c>
      <c r="B175" t="s">
        <v>177</v>
      </c>
      <c r="E175" s="3">
        <f>HYPERLINK("https://sao.dolgi.msk.ru/account/1404177456/", 1404177456)</f>
        <v>1404177456</v>
      </c>
      <c r="F175">
        <v>-3660.68</v>
      </c>
    </row>
    <row r="176" spans="1:6" x14ac:dyDescent="0.25">
      <c r="A176" t="s">
        <v>4</v>
      </c>
      <c r="B176" t="s">
        <v>178</v>
      </c>
      <c r="C176" s="5" t="str">
        <f>" кв. "&amp;B176</f>
        <v xml:space="preserve"> кв. 174</v>
      </c>
      <c r="D176" s="5" t="str">
        <f>CONCATENATE(A176,C176)</f>
        <v>Беломорская ул., дом 1 кв. 174</v>
      </c>
      <c r="E176" s="3">
        <f>HYPERLINK("https://sao.dolgi.msk.ru/account/1404175223/", 1404175223)</f>
        <v>1404175223</v>
      </c>
      <c r="F176">
        <v>1735.31</v>
      </c>
    </row>
    <row r="177" spans="1:6" hidden="1" x14ac:dyDescent="0.25">
      <c r="A177" t="s">
        <v>4</v>
      </c>
      <c r="B177" t="s">
        <v>179</v>
      </c>
      <c r="E177" s="3">
        <f>HYPERLINK("https://sao.dolgi.msk.ru/account/1404175514/", 1404175514)</f>
        <v>1404175514</v>
      </c>
      <c r="F177">
        <v>0</v>
      </c>
    </row>
    <row r="178" spans="1:6" x14ac:dyDescent="0.25">
      <c r="A178" t="s">
        <v>4</v>
      </c>
      <c r="B178" t="s">
        <v>180</v>
      </c>
      <c r="C178" s="5" t="str">
        <f>" кв. "&amp;B178</f>
        <v xml:space="preserve"> кв. 176</v>
      </c>
      <c r="D178" s="5" t="str">
        <f>CONCATENATE(A178,C178)</f>
        <v>Беломорская ул., дом 1 кв. 176</v>
      </c>
      <c r="E178" s="3">
        <f>HYPERLINK("https://sao.dolgi.msk.ru/account/1404176218/", 1404176218)</f>
        <v>1404176218</v>
      </c>
      <c r="F178">
        <v>2524.0700000000002</v>
      </c>
    </row>
    <row r="179" spans="1:6" hidden="1" x14ac:dyDescent="0.25">
      <c r="A179" t="s">
        <v>4</v>
      </c>
      <c r="B179" t="s">
        <v>181</v>
      </c>
      <c r="E179" s="3">
        <f>HYPERLINK("https://sao.dolgi.msk.ru/account/1404177309/", 1404177309)</f>
        <v>1404177309</v>
      </c>
      <c r="F179">
        <v>0</v>
      </c>
    </row>
    <row r="180" spans="1:6" x14ac:dyDescent="0.25">
      <c r="A180" t="s">
        <v>4</v>
      </c>
      <c r="B180" t="s">
        <v>182</v>
      </c>
      <c r="C180" s="5" t="str">
        <f t="shared" ref="C180:C183" si="14">" кв. "&amp;B180</f>
        <v xml:space="preserve"> кв. 178</v>
      </c>
      <c r="D180" s="5" t="str">
        <f>CONCATENATE(A180,C180)</f>
        <v>Беломорская ул., дом 1 кв. 178</v>
      </c>
      <c r="E180" s="3">
        <f>HYPERLINK("https://sao.dolgi.msk.ru/account/1404176226/", 1404176226)</f>
        <v>1404176226</v>
      </c>
      <c r="F180">
        <v>1260.45</v>
      </c>
    </row>
    <row r="181" spans="1:6" x14ac:dyDescent="0.25">
      <c r="A181" t="s">
        <v>4</v>
      </c>
      <c r="B181" t="s">
        <v>183</v>
      </c>
      <c r="C181" s="5" t="str">
        <f t="shared" si="14"/>
        <v xml:space="preserve"> кв. 179</v>
      </c>
      <c r="D181" s="5" t="str">
        <f>CONCATENATE(A181,C181)</f>
        <v>Беломорская ул., дом 1 кв. 179</v>
      </c>
      <c r="E181" s="3">
        <f>HYPERLINK("https://sao.dolgi.msk.ru/account/1404176541/", 1404176541)</f>
        <v>1404176541</v>
      </c>
      <c r="F181">
        <v>2122.37</v>
      </c>
    </row>
    <row r="182" spans="1:6" x14ac:dyDescent="0.25">
      <c r="A182" t="s">
        <v>4</v>
      </c>
      <c r="B182" t="s">
        <v>184</v>
      </c>
      <c r="C182" s="5" t="str">
        <f t="shared" si="14"/>
        <v xml:space="preserve"> кв. 180</v>
      </c>
      <c r="D182" s="5" t="str">
        <f>CONCATENATE(A182,C182)</f>
        <v>Беломорская ул., дом 1 кв. 180</v>
      </c>
      <c r="E182" s="3">
        <f>HYPERLINK("https://sao.dolgi.msk.ru/account/1404177325/", 1404177325)</f>
        <v>1404177325</v>
      </c>
      <c r="F182">
        <v>1999.01</v>
      </c>
    </row>
    <row r="183" spans="1:6" x14ac:dyDescent="0.25">
      <c r="A183" t="s">
        <v>4</v>
      </c>
      <c r="B183" t="s">
        <v>185</v>
      </c>
      <c r="C183" s="5" t="str">
        <f t="shared" si="14"/>
        <v xml:space="preserve"> кв. 181</v>
      </c>
      <c r="D183" s="5" t="str">
        <f>CONCATENATE(A183,C183)</f>
        <v>Беломорская ул., дом 1 кв. 181</v>
      </c>
      <c r="E183" s="3">
        <f>HYPERLINK("https://sao.dolgi.msk.ru/account/1404176146/", 1404176146)</f>
        <v>1404176146</v>
      </c>
      <c r="F183">
        <v>1429.68</v>
      </c>
    </row>
    <row r="184" spans="1:6" hidden="1" x14ac:dyDescent="0.25">
      <c r="A184" t="s">
        <v>4</v>
      </c>
      <c r="B184" t="s">
        <v>186</v>
      </c>
      <c r="E184" s="3">
        <f>HYPERLINK("https://sao.dolgi.msk.ru/account/1404174802/", 1404174802)</f>
        <v>1404174802</v>
      </c>
      <c r="F184">
        <v>-7083.9</v>
      </c>
    </row>
    <row r="185" spans="1:6" x14ac:dyDescent="0.25">
      <c r="A185" t="s">
        <v>4</v>
      </c>
      <c r="B185" t="s">
        <v>187</v>
      </c>
      <c r="C185" s="5" t="str">
        <f>" кв. "&amp;B185</f>
        <v xml:space="preserve"> кв. 183</v>
      </c>
      <c r="D185" s="5" t="str">
        <f>CONCATENATE(A185,C185)</f>
        <v>Беломорская ул., дом 1 кв. 183</v>
      </c>
      <c r="E185" s="3">
        <f>HYPERLINK("https://sao.dolgi.msk.ru/account/1404176154/", 1404176154)</f>
        <v>1404176154</v>
      </c>
      <c r="F185">
        <v>2002.17</v>
      </c>
    </row>
    <row r="186" spans="1:6" hidden="1" x14ac:dyDescent="0.25">
      <c r="A186" t="s">
        <v>4</v>
      </c>
      <c r="B186" t="s">
        <v>188</v>
      </c>
      <c r="E186" s="3">
        <f>HYPERLINK("https://sao.dolgi.msk.ru/account/1404176509/", 1404176509)</f>
        <v>1404176509</v>
      </c>
      <c r="F186">
        <v>-2750.81</v>
      </c>
    </row>
    <row r="187" spans="1:6" hidden="1" x14ac:dyDescent="0.25">
      <c r="A187" t="s">
        <v>4</v>
      </c>
      <c r="B187" t="s">
        <v>189</v>
      </c>
      <c r="E187" s="3">
        <f>HYPERLINK("https://sao.dolgi.msk.ru/account/1404176517/", 1404176517)</f>
        <v>1404176517</v>
      </c>
      <c r="F187">
        <v>-2034.65</v>
      </c>
    </row>
    <row r="188" spans="1:6" hidden="1" x14ac:dyDescent="0.25">
      <c r="A188" t="s">
        <v>4</v>
      </c>
      <c r="B188" t="s">
        <v>190</v>
      </c>
      <c r="E188" s="3">
        <f>HYPERLINK("https://sao.dolgi.msk.ru/account/1404176867/", 1404176867)</f>
        <v>1404176867</v>
      </c>
      <c r="F188">
        <v>0</v>
      </c>
    </row>
    <row r="189" spans="1:6" hidden="1" x14ac:dyDescent="0.25">
      <c r="A189" t="s">
        <v>4</v>
      </c>
      <c r="B189" t="s">
        <v>191</v>
      </c>
      <c r="E189" s="3">
        <f>HYPERLINK("https://sao.dolgi.msk.ru/account/1404176525/", 1404176525)</f>
        <v>1404176525</v>
      </c>
      <c r="F189">
        <v>-2600.84</v>
      </c>
    </row>
    <row r="190" spans="1:6" x14ac:dyDescent="0.25">
      <c r="A190" t="s">
        <v>4</v>
      </c>
      <c r="B190" t="s">
        <v>192</v>
      </c>
      <c r="C190" s="5" t="str">
        <f t="shared" ref="C190:C192" si="15">" кв. "&amp;B190</f>
        <v xml:space="preserve"> кв. 188</v>
      </c>
      <c r="D190" s="5" t="str">
        <f>CONCATENATE(A190,C190)</f>
        <v>Беломорская ул., дом 1 кв. 188</v>
      </c>
      <c r="E190" s="3">
        <f>HYPERLINK("https://sao.dolgi.msk.ru/account/1404174829/", 1404174829)</f>
        <v>1404174829</v>
      </c>
      <c r="F190">
        <v>1315.8</v>
      </c>
    </row>
    <row r="191" spans="1:6" x14ac:dyDescent="0.25">
      <c r="A191" t="s">
        <v>4</v>
      </c>
      <c r="B191" t="s">
        <v>193</v>
      </c>
      <c r="C191" s="5" t="str">
        <f t="shared" si="15"/>
        <v xml:space="preserve"> кв. 189</v>
      </c>
      <c r="D191" s="5" t="str">
        <f>CONCATENATE(A191,C191)</f>
        <v>Беломорская ул., дом 1 кв. 189</v>
      </c>
      <c r="E191" s="3">
        <f>HYPERLINK("https://sao.dolgi.msk.ru/account/1404175207/", 1404175207)</f>
        <v>1404175207</v>
      </c>
      <c r="F191">
        <v>2653.76</v>
      </c>
    </row>
    <row r="192" spans="1:6" x14ac:dyDescent="0.25">
      <c r="A192" t="s">
        <v>4</v>
      </c>
      <c r="B192" t="s">
        <v>194</v>
      </c>
      <c r="C192" s="5" t="str">
        <f t="shared" si="15"/>
        <v xml:space="preserve"> кв. 190</v>
      </c>
      <c r="D192" s="5" t="str">
        <f>CONCATENATE(A192,C192)</f>
        <v>Беломорская ул., дом 1 кв. 190</v>
      </c>
      <c r="E192" s="3">
        <f>HYPERLINK("https://sao.dolgi.msk.ru/account/1404175215/", 1404175215)</f>
        <v>1404175215</v>
      </c>
      <c r="F192">
        <v>1360.09</v>
      </c>
    </row>
    <row r="193" spans="1:6" hidden="1" x14ac:dyDescent="0.25">
      <c r="A193" t="s">
        <v>4</v>
      </c>
      <c r="B193" t="s">
        <v>195</v>
      </c>
      <c r="E193" s="3">
        <f>HYPERLINK("https://sao.dolgi.msk.ru/account/1404176162/", 1404176162)</f>
        <v>1404176162</v>
      </c>
      <c r="F193">
        <v>-3762.36</v>
      </c>
    </row>
    <row r="194" spans="1:6" x14ac:dyDescent="0.25">
      <c r="A194" t="s">
        <v>4</v>
      </c>
      <c r="B194" t="s">
        <v>196</v>
      </c>
      <c r="C194" s="5" t="str">
        <f t="shared" ref="C194:C199" si="16">" кв. "&amp;B194</f>
        <v xml:space="preserve"> кв. 192</v>
      </c>
      <c r="D194" s="5" t="str">
        <f>CONCATENATE(A194,C194)</f>
        <v>Беломорская ул., дом 1 кв. 192</v>
      </c>
      <c r="E194" s="3">
        <f>HYPERLINK("https://sao.dolgi.msk.ru/account/1404176189/", 1404176189)</f>
        <v>1404176189</v>
      </c>
      <c r="F194">
        <v>2736</v>
      </c>
    </row>
    <row r="195" spans="1:6" x14ac:dyDescent="0.25">
      <c r="A195" t="s">
        <v>4</v>
      </c>
      <c r="B195" t="s">
        <v>197</v>
      </c>
      <c r="C195" s="5" t="str">
        <f t="shared" si="16"/>
        <v xml:space="preserve"> кв. 193</v>
      </c>
      <c r="D195" s="5" t="str">
        <f>CONCATENATE(A195,C195)</f>
        <v>Беломорская ул., дом 1 кв. 193</v>
      </c>
      <c r="E195" s="3">
        <f>HYPERLINK("https://sao.dolgi.msk.ru/account/1404176197/", 1404176197)</f>
        <v>1404176197</v>
      </c>
      <c r="F195">
        <v>2293.1799999999998</v>
      </c>
    </row>
    <row r="196" spans="1:6" x14ac:dyDescent="0.25">
      <c r="A196" t="s">
        <v>4</v>
      </c>
      <c r="B196" t="s">
        <v>198</v>
      </c>
      <c r="C196" s="5" t="str">
        <f t="shared" si="16"/>
        <v xml:space="preserve"> кв. 194</v>
      </c>
      <c r="D196" s="5" t="str">
        <f>CONCATENATE(A196,C196)</f>
        <v>Беломорская ул., дом 1 кв. 194</v>
      </c>
      <c r="E196" s="3">
        <f>HYPERLINK("https://sao.dolgi.msk.ru/account/1404174837/", 1404174837)</f>
        <v>1404174837</v>
      </c>
      <c r="F196">
        <v>2024.32</v>
      </c>
    </row>
    <row r="197" spans="1:6" x14ac:dyDescent="0.25">
      <c r="A197" t="s">
        <v>4</v>
      </c>
      <c r="B197" t="s">
        <v>199</v>
      </c>
      <c r="C197" s="5" t="str">
        <f t="shared" si="16"/>
        <v xml:space="preserve"> кв. 195</v>
      </c>
      <c r="D197" s="5" t="str">
        <f>CONCATENATE(A197,C197)</f>
        <v>Беломорская ул., дом 1 кв. 195</v>
      </c>
      <c r="E197" s="3">
        <f>HYPERLINK("https://sao.dolgi.msk.ru/account/1404176277/", 1404176277)</f>
        <v>1404176277</v>
      </c>
      <c r="F197">
        <v>2603.15</v>
      </c>
    </row>
    <row r="198" spans="1:6" x14ac:dyDescent="0.25">
      <c r="A198" t="s">
        <v>4</v>
      </c>
      <c r="B198" t="s">
        <v>200</v>
      </c>
      <c r="C198" s="5" t="str">
        <f t="shared" si="16"/>
        <v xml:space="preserve"> кв. 196</v>
      </c>
      <c r="D198" s="5" t="str">
        <f>CONCATENATE(A198,C198)</f>
        <v>Беломорская ул., дом 1 кв. 196</v>
      </c>
      <c r="E198" s="3">
        <f>HYPERLINK("https://sao.dolgi.msk.ru/account/1404174888/", 1404174888)</f>
        <v>1404174888</v>
      </c>
      <c r="F198">
        <v>2599.9899999999998</v>
      </c>
    </row>
    <row r="199" spans="1:6" x14ac:dyDescent="0.25">
      <c r="A199" t="s">
        <v>4</v>
      </c>
      <c r="B199" t="s">
        <v>201</v>
      </c>
      <c r="C199" s="5" t="str">
        <f t="shared" si="16"/>
        <v xml:space="preserve"> кв. 197</v>
      </c>
      <c r="D199" s="5" t="str">
        <f>CONCATENATE(A199,C199)</f>
        <v>Беломорская ул., дом 1 кв. 197</v>
      </c>
      <c r="E199" s="3">
        <f>HYPERLINK("https://sao.dolgi.msk.ru/account/1404174896/", 1404174896)</f>
        <v>1404174896</v>
      </c>
      <c r="F199">
        <v>1360.09</v>
      </c>
    </row>
    <row r="200" spans="1:6" hidden="1" x14ac:dyDescent="0.25">
      <c r="A200" t="s">
        <v>4</v>
      </c>
      <c r="B200" t="s">
        <v>202</v>
      </c>
      <c r="E200" s="3">
        <f>HYPERLINK("https://sao.dolgi.msk.ru/account/1404177405/", 1404177405)</f>
        <v>1404177405</v>
      </c>
      <c r="F200">
        <v>-3748.49</v>
      </c>
    </row>
    <row r="201" spans="1:6" x14ac:dyDescent="0.25">
      <c r="A201" t="s">
        <v>4</v>
      </c>
      <c r="B201" t="s">
        <v>203</v>
      </c>
      <c r="C201" s="5" t="str">
        <f t="shared" ref="C201:C203" si="17">" кв. "&amp;B201</f>
        <v xml:space="preserve"> кв. 199</v>
      </c>
      <c r="D201" s="5" t="str">
        <f>CONCATENATE(A201,C201)</f>
        <v>Беломорская ул., дом 1 кв. 199</v>
      </c>
      <c r="E201" s="3">
        <f>HYPERLINK("https://sao.dolgi.msk.ru/account/1404176912/", 1404176912)</f>
        <v>1404176912</v>
      </c>
      <c r="F201">
        <v>2360.79</v>
      </c>
    </row>
    <row r="202" spans="1:6" x14ac:dyDescent="0.25">
      <c r="A202" t="s">
        <v>4</v>
      </c>
      <c r="B202" t="s">
        <v>204</v>
      </c>
      <c r="C202" s="5" t="str">
        <f t="shared" si="17"/>
        <v xml:space="preserve"> кв. 200</v>
      </c>
      <c r="D202" s="5" t="str">
        <f>CONCATENATE(A202,C202)</f>
        <v>Беломорская ул., дом 1 кв. 200</v>
      </c>
      <c r="E202" s="3">
        <f>HYPERLINK("https://sao.dolgi.msk.ru/account/1404176621/", 1404176621)</f>
        <v>1404176621</v>
      </c>
      <c r="F202">
        <v>2274.9899999999998</v>
      </c>
    </row>
    <row r="203" spans="1:6" x14ac:dyDescent="0.25">
      <c r="A203" t="s">
        <v>4</v>
      </c>
      <c r="B203" t="s">
        <v>205</v>
      </c>
      <c r="C203" s="5" t="str">
        <f t="shared" si="17"/>
        <v xml:space="preserve"> кв. 201</v>
      </c>
      <c r="D203" s="5" t="str">
        <f>CONCATENATE(A203,C203)</f>
        <v>Беломорская ул., дом 1 кв. 201</v>
      </c>
      <c r="E203" s="3">
        <f>HYPERLINK("https://sao.dolgi.msk.ru/account/1404176285/", 1404176285)</f>
        <v>1404176285</v>
      </c>
      <c r="F203">
        <v>2283.3000000000002</v>
      </c>
    </row>
    <row r="204" spans="1:6" hidden="1" x14ac:dyDescent="0.25">
      <c r="A204" t="s">
        <v>4</v>
      </c>
      <c r="B204" t="s">
        <v>206</v>
      </c>
      <c r="E204" s="3">
        <f>HYPERLINK("https://sao.dolgi.msk.ru/account/1404176648/", 1404176648)</f>
        <v>1404176648</v>
      </c>
      <c r="F204">
        <v>-3148.58</v>
      </c>
    </row>
    <row r="205" spans="1:6" hidden="1" x14ac:dyDescent="0.25">
      <c r="A205" t="s">
        <v>4</v>
      </c>
      <c r="B205" t="s">
        <v>207</v>
      </c>
      <c r="E205" s="3">
        <f>HYPERLINK("https://sao.dolgi.msk.ru/account/1404176939/", 1404176939)</f>
        <v>1404176939</v>
      </c>
      <c r="F205">
        <v>-3152.95</v>
      </c>
    </row>
    <row r="206" spans="1:6" x14ac:dyDescent="0.25">
      <c r="A206" t="s">
        <v>4</v>
      </c>
      <c r="B206" t="s">
        <v>208</v>
      </c>
      <c r="C206" s="5" t="str">
        <f t="shared" ref="C206:C208" si="18">" кв. "&amp;B206</f>
        <v xml:space="preserve"> кв. 204</v>
      </c>
      <c r="D206" s="5" t="str">
        <f>CONCATENATE(A206,C206)</f>
        <v>Беломорская ул., дом 1 кв. 204</v>
      </c>
      <c r="E206" s="3">
        <f>HYPERLINK("https://sao.dolgi.msk.ru/account/1404175856/", 1404175856)</f>
        <v>1404175856</v>
      </c>
      <c r="F206">
        <v>2207.77</v>
      </c>
    </row>
    <row r="207" spans="1:6" x14ac:dyDescent="0.25">
      <c r="A207" t="s">
        <v>4</v>
      </c>
      <c r="B207" t="s">
        <v>209</v>
      </c>
      <c r="C207" s="5" t="str">
        <f t="shared" si="18"/>
        <v xml:space="preserve"> кв. 205</v>
      </c>
      <c r="D207" s="5" t="str">
        <f>CONCATENATE(A207,C207)</f>
        <v>Беломорская ул., дом 1 кв. 205</v>
      </c>
      <c r="E207" s="3">
        <f>HYPERLINK("https://sao.dolgi.msk.ru/account/1404176947/", 1404176947)</f>
        <v>1404176947</v>
      </c>
      <c r="F207">
        <v>2587.33</v>
      </c>
    </row>
    <row r="208" spans="1:6" x14ac:dyDescent="0.25">
      <c r="A208" t="s">
        <v>4</v>
      </c>
      <c r="B208" t="s">
        <v>210</v>
      </c>
      <c r="C208" s="5" t="str">
        <f t="shared" si="18"/>
        <v xml:space="preserve"> кв. 206</v>
      </c>
      <c r="D208" s="5" t="str">
        <f>CONCATENATE(A208,C208)</f>
        <v>Беломорская ул., дом 1 кв. 206</v>
      </c>
      <c r="E208" s="3">
        <f>HYPERLINK("https://sao.dolgi.msk.ru/account/1404175581/", 1404175581)</f>
        <v>1404175581</v>
      </c>
      <c r="F208">
        <v>2596.8200000000002</v>
      </c>
    </row>
    <row r="209" spans="1:6" hidden="1" x14ac:dyDescent="0.25">
      <c r="A209" t="s">
        <v>4</v>
      </c>
      <c r="B209" t="s">
        <v>211</v>
      </c>
      <c r="E209" s="3">
        <f>HYPERLINK("https://sao.dolgi.msk.ru/account/1404175282/", 1404175282)</f>
        <v>1404175282</v>
      </c>
      <c r="F209">
        <v>-628.86</v>
      </c>
    </row>
    <row r="210" spans="1:6" x14ac:dyDescent="0.25">
      <c r="A210" t="s">
        <v>4</v>
      </c>
      <c r="B210" t="s">
        <v>212</v>
      </c>
      <c r="C210" s="5" t="str">
        <f>" кв. "&amp;B210</f>
        <v xml:space="preserve"> кв. 208</v>
      </c>
      <c r="D210" s="5" t="str">
        <f>CONCATENATE(A210,C210)</f>
        <v>Беломорская ул., дом 1 кв. 208</v>
      </c>
      <c r="E210" s="3">
        <f>HYPERLINK("https://sao.dolgi.msk.ru/account/1404175602/", 1404175602)</f>
        <v>1404175602</v>
      </c>
      <c r="F210">
        <v>1912.04</v>
      </c>
    </row>
    <row r="211" spans="1:6" hidden="1" x14ac:dyDescent="0.25">
      <c r="A211" t="s">
        <v>4</v>
      </c>
      <c r="B211" t="s">
        <v>213</v>
      </c>
      <c r="E211" s="3">
        <f>HYPERLINK("https://sao.dolgi.msk.ru/account/1404175303/", 1404175303)</f>
        <v>1404175303</v>
      </c>
      <c r="F211">
        <v>0</v>
      </c>
    </row>
    <row r="212" spans="1:6" hidden="1" x14ac:dyDescent="0.25">
      <c r="A212" t="s">
        <v>4</v>
      </c>
      <c r="B212" t="s">
        <v>214</v>
      </c>
      <c r="E212" s="3">
        <f>HYPERLINK("https://sao.dolgi.msk.ru/account/1404174845/", 1404174845)</f>
        <v>1404174845</v>
      </c>
      <c r="F212">
        <v>-1890.42</v>
      </c>
    </row>
    <row r="213" spans="1:6" hidden="1" x14ac:dyDescent="0.25">
      <c r="A213" t="s">
        <v>4</v>
      </c>
      <c r="B213" t="s">
        <v>215</v>
      </c>
      <c r="E213" s="3">
        <f>HYPERLINK("https://sao.dolgi.msk.ru/account/1404175557/", 1404175557)</f>
        <v>1404175557</v>
      </c>
      <c r="F213">
        <v>-3831.69</v>
      </c>
    </row>
    <row r="214" spans="1:6" x14ac:dyDescent="0.25">
      <c r="A214" t="s">
        <v>4</v>
      </c>
      <c r="B214" t="s">
        <v>216</v>
      </c>
      <c r="C214" s="5" t="str">
        <f>" кв. "&amp;B214</f>
        <v xml:space="preserve"> кв. 212</v>
      </c>
      <c r="D214" s="5" t="str">
        <f>CONCATENATE(A214,C214)</f>
        <v>Беломорская ул., дом 1 кв. 212</v>
      </c>
      <c r="E214" s="3">
        <f>HYPERLINK("https://sao.dolgi.msk.ru/account/1404177333/", 1404177333)</f>
        <v>1404177333</v>
      </c>
      <c r="F214">
        <v>1366.41</v>
      </c>
    </row>
    <row r="215" spans="1:6" hidden="1" x14ac:dyDescent="0.25">
      <c r="A215" t="s">
        <v>4</v>
      </c>
      <c r="B215" t="s">
        <v>217</v>
      </c>
      <c r="E215" s="3">
        <f>HYPERLINK("https://sao.dolgi.msk.ru/account/1404176234/", 1404176234)</f>
        <v>1404176234</v>
      </c>
      <c r="F215">
        <v>-2633.66</v>
      </c>
    </row>
    <row r="216" spans="1:6" x14ac:dyDescent="0.25">
      <c r="A216" t="s">
        <v>4</v>
      </c>
      <c r="B216" t="s">
        <v>218</v>
      </c>
      <c r="C216" s="5" t="str">
        <f>" кв. "&amp;B216</f>
        <v xml:space="preserve"> кв. 214</v>
      </c>
      <c r="D216" s="5" t="str">
        <f>CONCATENATE(A216,C216)</f>
        <v>Беломорская ул., дом 1 кв. 214</v>
      </c>
      <c r="E216" s="3">
        <f>HYPERLINK("https://sao.dolgi.msk.ru/account/1404176875/", 1404176875)</f>
        <v>1404176875</v>
      </c>
      <c r="F216">
        <v>1575.17</v>
      </c>
    </row>
    <row r="217" spans="1:6" hidden="1" x14ac:dyDescent="0.25">
      <c r="A217" t="s">
        <v>4</v>
      </c>
      <c r="B217" t="s">
        <v>219</v>
      </c>
      <c r="E217" s="3">
        <f>HYPERLINK("https://sao.dolgi.msk.ru/account/1404175792/", 1404175792)</f>
        <v>1404175792</v>
      </c>
      <c r="F217">
        <v>-3059.8</v>
      </c>
    </row>
    <row r="218" spans="1:6" x14ac:dyDescent="0.25">
      <c r="A218" t="s">
        <v>4</v>
      </c>
      <c r="B218" t="s">
        <v>220</v>
      </c>
      <c r="C218" s="5" t="str">
        <f>" кв. "&amp;B218</f>
        <v xml:space="preserve"> кв. 216</v>
      </c>
      <c r="D218" s="5" t="str">
        <f>CONCATENATE(A218,C218)</f>
        <v>Беломорская ул., дом 1 кв. 216</v>
      </c>
      <c r="E218" s="3">
        <f>HYPERLINK("https://sao.dolgi.msk.ru/account/1404174853/", 1404174853)</f>
        <v>1404174853</v>
      </c>
      <c r="F218">
        <v>2644.27</v>
      </c>
    </row>
    <row r="219" spans="1:6" hidden="1" x14ac:dyDescent="0.25">
      <c r="A219" t="s">
        <v>4</v>
      </c>
      <c r="B219" t="s">
        <v>221</v>
      </c>
      <c r="E219" s="3">
        <f>HYPERLINK("https://sao.dolgi.msk.ru/account/1404175805/", 1404175805)</f>
        <v>1404175805</v>
      </c>
      <c r="F219">
        <v>-3207.72</v>
      </c>
    </row>
    <row r="220" spans="1:6" hidden="1" x14ac:dyDescent="0.25">
      <c r="A220" t="s">
        <v>4</v>
      </c>
      <c r="B220" t="s">
        <v>222</v>
      </c>
      <c r="E220" s="3">
        <f>HYPERLINK("https://sao.dolgi.msk.ru/account/1404175258/", 1404175258)</f>
        <v>1404175258</v>
      </c>
      <c r="F220">
        <v>-2396.81</v>
      </c>
    </row>
    <row r="221" spans="1:6" hidden="1" x14ac:dyDescent="0.25">
      <c r="A221" t="s">
        <v>4</v>
      </c>
      <c r="B221" t="s">
        <v>223</v>
      </c>
      <c r="E221" s="3">
        <f>HYPERLINK("https://sao.dolgi.msk.ru/account/1404175266/", 1404175266)</f>
        <v>1404175266</v>
      </c>
      <c r="F221">
        <v>-3961.11</v>
      </c>
    </row>
    <row r="222" spans="1:6" x14ac:dyDescent="0.25">
      <c r="A222" t="s">
        <v>4</v>
      </c>
      <c r="B222" t="s">
        <v>224</v>
      </c>
      <c r="C222" s="5" t="str">
        <f t="shared" ref="C222:C228" si="19">" кв. "&amp;B222</f>
        <v xml:space="preserve"> кв. 220</v>
      </c>
      <c r="D222" s="5" t="str">
        <f>CONCATENATE(A222,C222)</f>
        <v>Беломорская ул., дом 1 кв. 220</v>
      </c>
      <c r="E222" s="3">
        <f>HYPERLINK("https://sao.dolgi.msk.ru/account/1404176883/", 1404176883)</f>
        <v>1404176883</v>
      </c>
      <c r="F222">
        <v>1473.96</v>
      </c>
    </row>
    <row r="223" spans="1:6" x14ac:dyDescent="0.25">
      <c r="A223" t="s">
        <v>4</v>
      </c>
      <c r="B223" t="s">
        <v>225</v>
      </c>
      <c r="C223" s="5" t="str">
        <f t="shared" si="19"/>
        <v xml:space="preserve"> кв. 221</v>
      </c>
      <c r="D223" s="5" t="str">
        <f>CONCATENATE(A223,C223)</f>
        <v>Беломорская ул., дом 1 кв. 221</v>
      </c>
      <c r="E223" s="3">
        <f>HYPERLINK("https://sao.dolgi.msk.ru/account/1404175522/", 1404175522)</f>
        <v>1404175522</v>
      </c>
      <c r="F223">
        <v>1973.71</v>
      </c>
    </row>
    <row r="224" spans="1:6" x14ac:dyDescent="0.25">
      <c r="A224" t="s">
        <v>4</v>
      </c>
      <c r="B224" t="s">
        <v>226</v>
      </c>
      <c r="C224" s="5" t="str">
        <f t="shared" si="19"/>
        <v xml:space="preserve"> кв. 222</v>
      </c>
      <c r="D224" s="5" t="str">
        <f>CONCATENATE(A224,C224)</f>
        <v>Беломорская ул., дом 1 кв. 222</v>
      </c>
      <c r="E224" s="3">
        <f>HYPERLINK("https://sao.dolgi.msk.ru/account/1404176568/", 1404176568)</f>
        <v>1404176568</v>
      </c>
      <c r="F224">
        <v>2710.69</v>
      </c>
    </row>
    <row r="225" spans="1:6" x14ac:dyDescent="0.25">
      <c r="A225" t="s">
        <v>4</v>
      </c>
      <c r="B225" t="s">
        <v>227</v>
      </c>
      <c r="C225" s="5" t="str">
        <f t="shared" si="19"/>
        <v xml:space="preserve"> кв. 223</v>
      </c>
      <c r="D225" s="5" t="str">
        <f>CONCATENATE(A225,C225)</f>
        <v>Беломорская ул., дом 1 кв. 223</v>
      </c>
      <c r="E225" s="3">
        <f>HYPERLINK("https://sao.dolgi.msk.ru/account/1404176576/", 1404176576)</f>
        <v>1404176576</v>
      </c>
      <c r="F225">
        <v>2139.3000000000002</v>
      </c>
    </row>
    <row r="226" spans="1:6" x14ac:dyDescent="0.25">
      <c r="A226" t="s">
        <v>4</v>
      </c>
      <c r="B226" t="s">
        <v>228</v>
      </c>
      <c r="C226" s="5" t="str">
        <f t="shared" si="19"/>
        <v xml:space="preserve"> кв. 224</v>
      </c>
      <c r="D226" s="5" t="str">
        <f>CONCATENATE(A226,C226)</f>
        <v>Беломорская ул., дом 1 кв. 224</v>
      </c>
      <c r="E226" s="3">
        <f>HYPERLINK("https://sao.dolgi.msk.ru/account/1404175549/", 1404175549)</f>
        <v>1404175549</v>
      </c>
      <c r="F226">
        <v>2704.37</v>
      </c>
    </row>
    <row r="227" spans="1:6" x14ac:dyDescent="0.25">
      <c r="A227" t="s">
        <v>4</v>
      </c>
      <c r="B227" t="s">
        <v>229</v>
      </c>
      <c r="C227" s="5" t="str">
        <f t="shared" si="19"/>
        <v xml:space="preserve"> кв. 225</v>
      </c>
      <c r="D227" s="5" t="str">
        <f>CONCATENATE(A227,C227)</f>
        <v>Беломорская ул., дом 1 кв. 225</v>
      </c>
      <c r="E227" s="3">
        <f>HYPERLINK("https://sao.dolgi.msk.ru/account/1404176293/", 1404176293)</f>
        <v>1404176293</v>
      </c>
      <c r="F227">
        <v>1741.99</v>
      </c>
    </row>
    <row r="228" spans="1:6" x14ac:dyDescent="0.25">
      <c r="A228" t="s">
        <v>4</v>
      </c>
      <c r="B228" t="s">
        <v>230</v>
      </c>
      <c r="C228" s="5" t="str">
        <f t="shared" si="19"/>
        <v xml:space="preserve"> кв. 226</v>
      </c>
      <c r="D228" s="5" t="str">
        <f>CONCATENATE(A228,C228)</f>
        <v>Беломорская ул., дом 1 кв. 226</v>
      </c>
      <c r="E228" s="3">
        <f>HYPERLINK("https://sao.dolgi.msk.ru/account/1404174909/", 1404174909)</f>
        <v>1404174909</v>
      </c>
      <c r="F228">
        <v>2653.76</v>
      </c>
    </row>
    <row r="229" spans="1:6" hidden="1" x14ac:dyDescent="0.25">
      <c r="A229" t="s">
        <v>4</v>
      </c>
      <c r="B229" t="s">
        <v>231</v>
      </c>
      <c r="E229" s="3">
        <f>HYPERLINK("https://sao.dolgi.msk.ru/account/1404175864/", 1404175864)</f>
        <v>1404175864</v>
      </c>
      <c r="F229">
        <v>-2632.27</v>
      </c>
    </row>
    <row r="230" spans="1:6" x14ac:dyDescent="0.25">
      <c r="A230" t="s">
        <v>4</v>
      </c>
      <c r="B230" t="s">
        <v>232</v>
      </c>
      <c r="C230" s="5" t="str">
        <f>" кв. "&amp;B230</f>
        <v xml:space="preserve"> кв. 228</v>
      </c>
      <c r="D230" s="5" t="str">
        <f>CONCATENATE(A230,C230)</f>
        <v>Беломорская ул., дом 1 кв. 228</v>
      </c>
      <c r="E230" s="3">
        <f>HYPERLINK("https://sao.dolgi.msk.ru/account/1404175629/", 1404175629)</f>
        <v>1404175629</v>
      </c>
      <c r="F230">
        <v>2498.77</v>
      </c>
    </row>
    <row r="231" spans="1:6" hidden="1" x14ac:dyDescent="0.25">
      <c r="A231" t="s">
        <v>4</v>
      </c>
      <c r="B231" t="s">
        <v>233</v>
      </c>
      <c r="E231" s="3">
        <f>HYPERLINK("https://sao.dolgi.msk.ru/account/1404175637/", 1404175637)</f>
        <v>1404175637</v>
      </c>
      <c r="F231">
        <v>0</v>
      </c>
    </row>
    <row r="232" spans="1:6" x14ac:dyDescent="0.25">
      <c r="A232" t="s">
        <v>4</v>
      </c>
      <c r="B232" t="s">
        <v>234</v>
      </c>
      <c r="C232" s="5" t="str">
        <f t="shared" ref="C232:C233" si="20">" кв. "&amp;B232</f>
        <v xml:space="preserve"> кв. 230</v>
      </c>
      <c r="D232" s="5" t="str">
        <f>CONCATENATE(A232,C232)</f>
        <v>Беломорская ул., дом 1 кв. 230</v>
      </c>
      <c r="E232" s="3">
        <f>HYPERLINK("https://sao.dolgi.msk.ru/account/1404174917/", 1404174917)</f>
        <v>1404174917</v>
      </c>
      <c r="F232">
        <v>2555.6999999999998</v>
      </c>
    </row>
    <row r="233" spans="1:6" x14ac:dyDescent="0.25">
      <c r="A233" t="s">
        <v>4</v>
      </c>
      <c r="B233" t="s">
        <v>235</v>
      </c>
      <c r="C233" s="5" t="str">
        <f t="shared" si="20"/>
        <v xml:space="preserve"> кв. 231</v>
      </c>
      <c r="D233" s="5" t="str">
        <f>CONCATENATE(A233,C233)</f>
        <v>Беломорская ул., дом 1 кв. 231</v>
      </c>
      <c r="E233" s="3">
        <f>HYPERLINK("https://sao.dolgi.msk.ru/account/1404176728/", 1404176728)</f>
        <v>1404176728</v>
      </c>
      <c r="F233">
        <v>1761.79</v>
      </c>
    </row>
    <row r="234" spans="1:6" hidden="1" x14ac:dyDescent="0.25">
      <c r="A234" t="s">
        <v>236</v>
      </c>
      <c r="B234" t="s">
        <v>5</v>
      </c>
      <c r="E234" s="3">
        <f>HYPERLINK("https://sao.dolgi.msk.ru/account/1404178475/", 1404178475)</f>
        <v>1404178475</v>
      </c>
      <c r="F234">
        <v>-1144.01</v>
      </c>
    </row>
    <row r="235" spans="1:6" hidden="1" x14ac:dyDescent="0.25">
      <c r="A235" t="s">
        <v>236</v>
      </c>
      <c r="B235" t="s">
        <v>6</v>
      </c>
      <c r="E235" s="3">
        <f>HYPERLINK("https://sao.dolgi.msk.ru/account/1404177894/", 1404177894)</f>
        <v>1404177894</v>
      </c>
      <c r="F235">
        <v>-2584.61</v>
      </c>
    </row>
    <row r="236" spans="1:6" x14ac:dyDescent="0.25">
      <c r="A236" t="s">
        <v>236</v>
      </c>
      <c r="B236" t="s">
        <v>7</v>
      </c>
      <c r="C236" s="5" t="str">
        <f>" кв. "&amp;B236</f>
        <v xml:space="preserve"> кв. 3</v>
      </c>
      <c r="D236" s="5" t="str">
        <f>CONCATENATE(A236,C236)</f>
        <v>Беломорская ул., дом 3 к.1 кв. 3</v>
      </c>
      <c r="E236" s="3">
        <f>HYPERLINK("https://sao.dolgi.msk.ru/account/1404177624/", 1404177624)</f>
        <v>1404177624</v>
      </c>
      <c r="F236">
        <v>1248.1500000000001</v>
      </c>
    </row>
    <row r="237" spans="1:6" hidden="1" x14ac:dyDescent="0.25">
      <c r="A237" t="s">
        <v>236</v>
      </c>
      <c r="B237" t="s">
        <v>8</v>
      </c>
      <c r="E237" s="3">
        <f>HYPERLINK("https://sao.dolgi.msk.ru/account/1404178002/", 1404178002)</f>
        <v>1404178002</v>
      </c>
      <c r="F237">
        <v>-1514.02</v>
      </c>
    </row>
    <row r="238" spans="1:6" x14ac:dyDescent="0.25">
      <c r="A238" t="s">
        <v>236</v>
      </c>
      <c r="B238" t="s">
        <v>9</v>
      </c>
      <c r="C238" s="5" t="str">
        <f>" кв. "&amp;B238</f>
        <v xml:space="preserve"> кв. 5</v>
      </c>
      <c r="D238" s="5" t="str">
        <f>CONCATENATE(A238,C238)</f>
        <v>Беломорская ул., дом 3 к.1 кв. 5</v>
      </c>
      <c r="E238" s="3">
        <f>HYPERLINK("https://sao.dolgi.msk.ru/account/1404178299/", 1404178299)</f>
        <v>1404178299</v>
      </c>
      <c r="F238">
        <v>999.05</v>
      </c>
    </row>
    <row r="239" spans="1:6" hidden="1" x14ac:dyDescent="0.25">
      <c r="A239" t="s">
        <v>236</v>
      </c>
      <c r="B239" t="s">
        <v>10</v>
      </c>
      <c r="E239" s="3">
        <f>HYPERLINK("https://sao.dolgi.msk.ru/account/1404178029/", 1404178029)</f>
        <v>1404178029</v>
      </c>
      <c r="F239">
        <v>-1274.07</v>
      </c>
    </row>
    <row r="240" spans="1:6" hidden="1" x14ac:dyDescent="0.25">
      <c r="A240" t="s">
        <v>236</v>
      </c>
      <c r="B240" t="s">
        <v>11</v>
      </c>
      <c r="E240" s="3">
        <f>HYPERLINK("https://sao.dolgi.msk.ru/account/1404178379/", 1404178379)</f>
        <v>1404178379</v>
      </c>
      <c r="F240">
        <v>0</v>
      </c>
    </row>
    <row r="241" spans="1:6" x14ac:dyDescent="0.25">
      <c r="A241" t="s">
        <v>236</v>
      </c>
      <c r="B241" t="s">
        <v>12</v>
      </c>
      <c r="C241" s="5" t="str">
        <f>" кв. "&amp;B241</f>
        <v xml:space="preserve"> кв. 8</v>
      </c>
      <c r="D241" s="5" t="str">
        <f>CONCATENATE(A241,C241)</f>
        <v>Беломорская ул., дом 3 к.1 кв. 8</v>
      </c>
      <c r="E241" s="3">
        <f>HYPERLINK("https://sao.dolgi.msk.ru/account/1404177982/", 1404177982)</f>
        <v>1404177982</v>
      </c>
      <c r="F241">
        <v>575.66</v>
      </c>
    </row>
    <row r="242" spans="1:6" hidden="1" x14ac:dyDescent="0.25">
      <c r="A242" t="s">
        <v>236</v>
      </c>
      <c r="B242" t="s">
        <v>13</v>
      </c>
      <c r="E242" s="3">
        <f>HYPERLINK("https://sao.dolgi.msk.ru/account/1404178096/", 1404178096)</f>
        <v>1404178096</v>
      </c>
      <c r="F242">
        <v>-2460.1</v>
      </c>
    </row>
    <row r="243" spans="1:6" hidden="1" x14ac:dyDescent="0.25">
      <c r="A243" t="s">
        <v>236</v>
      </c>
      <c r="B243" t="s">
        <v>14</v>
      </c>
      <c r="E243" s="3">
        <f>HYPERLINK("https://sao.dolgi.msk.ru/account/1404178352/", 1404178352)</f>
        <v>1404178352</v>
      </c>
      <c r="F243">
        <v>0</v>
      </c>
    </row>
    <row r="244" spans="1:6" hidden="1" x14ac:dyDescent="0.25">
      <c r="A244" t="s">
        <v>236</v>
      </c>
      <c r="B244" t="s">
        <v>15</v>
      </c>
      <c r="E244" s="3">
        <f>HYPERLINK("https://sao.dolgi.msk.ru/account/1404177886/", 1404177886)</f>
        <v>1404177886</v>
      </c>
      <c r="F244">
        <v>-2075.31</v>
      </c>
    </row>
    <row r="245" spans="1:6" hidden="1" x14ac:dyDescent="0.25">
      <c r="A245" t="s">
        <v>236</v>
      </c>
      <c r="B245" t="s">
        <v>16</v>
      </c>
      <c r="E245" s="3">
        <f>HYPERLINK("https://sao.dolgi.msk.ru/account/1404177712/", 1404177712)</f>
        <v>1404177712</v>
      </c>
      <c r="F245">
        <v>-914.67</v>
      </c>
    </row>
    <row r="246" spans="1:6" hidden="1" x14ac:dyDescent="0.25">
      <c r="A246" t="s">
        <v>236</v>
      </c>
      <c r="B246" t="s">
        <v>17</v>
      </c>
      <c r="E246" s="3">
        <f>HYPERLINK("https://sao.dolgi.msk.ru/account/1404177632/", 1404177632)</f>
        <v>1404177632</v>
      </c>
      <c r="F246">
        <v>-1048.29</v>
      </c>
    </row>
    <row r="247" spans="1:6" hidden="1" x14ac:dyDescent="0.25">
      <c r="A247" t="s">
        <v>236</v>
      </c>
      <c r="B247" t="s">
        <v>17</v>
      </c>
      <c r="E247" s="3">
        <f>HYPERLINK("https://sao.dolgi.msk.ru/account/1404178635/", 1404178635)</f>
        <v>1404178635</v>
      </c>
      <c r="F247">
        <v>-1378.01</v>
      </c>
    </row>
    <row r="248" spans="1:6" hidden="1" x14ac:dyDescent="0.25">
      <c r="A248" t="s">
        <v>236</v>
      </c>
      <c r="B248" t="s">
        <v>18</v>
      </c>
      <c r="E248" s="3">
        <f>HYPERLINK("https://sao.dolgi.msk.ru/account/1404177739/", 1404177739)</f>
        <v>1404177739</v>
      </c>
      <c r="F248">
        <v>-1131.6099999999999</v>
      </c>
    </row>
    <row r="249" spans="1:6" hidden="1" x14ac:dyDescent="0.25">
      <c r="A249" t="s">
        <v>236</v>
      </c>
      <c r="B249" t="s">
        <v>19</v>
      </c>
      <c r="E249" s="3">
        <f>HYPERLINK("https://sao.dolgi.msk.ru/account/1404177747/", 1404177747)</f>
        <v>1404177747</v>
      </c>
      <c r="F249">
        <v>0</v>
      </c>
    </row>
    <row r="250" spans="1:6" hidden="1" x14ac:dyDescent="0.25">
      <c r="A250" t="s">
        <v>236</v>
      </c>
      <c r="B250" t="s">
        <v>20</v>
      </c>
      <c r="E250" s="3">
        <f>HYPERLINK("https://sao.dolgi.msk.ru/account/1404178344/", 1404178344)</f>
        <v>1404178344</v>
      </c>
      <c r="F250">
        <v>-2925.78</v>
      </c>
    </row>
    <row r="251" spans="1:6" hidden="1" x14ac:dyDescent="0.25">
      <c r="A251" t="s">
        <v>236</v>
      </c>
      <c r="B251" t="s">
        <v>21</v>
      </c>
      <c r="E251" s="3">
        <f>HYPERLINK("https://sao.dolgi.msk.ru/account/1404177587/", 1404177587)</f>
        <v>1404177587</v>
      </c>
      <c r="F251">
        <v>-2190.86</v>
      </c>
    </row>
    <row r="252" spans="1:6" hidden="1" x14ac:dyDescent="0.25">
      <c r="A252" t="s">
        <v>236</v>
      </c>
      <c r="B252" t="s">
        <v>22</v>
      </c>
      <c r="E252" s="3">
        <f>HYPERLINK("https://sao.dolgi.msk.ru/account/1404177595/", 1404177595)</f>
        <v>1404177595</v>
      </c>
      <c r="F252">
        <v>-2052.19</v>
      </c>
    </row>
    <row r="253" spans="1:6" hidden="1" x14ac:dyDescent="0.25">
      <c r="A253" t="s">
        <v>236</v>
      </c>
      <c r="B253" t="s">
        <v>23</v>
      </c>
      <c r="E253" s="3">
        <f>HYPERLINK("https://sao.dolgi.msk.ru/account/1404177608/", 1404177608)</f>
        <v>1404177608</v>
      </c>
      <c r="F253">
        <v>-1471.37</v>
      </c>
    </row>
    <row r="254" spans="1:6" x14ac:dyDescent="0.25">
      <c r="A254" t="s">
        <v>236</v>
      </c>
      <c r="B254" t="s">
        <v>24</v>
      </c>
      <c r="C254" s="5" t="str">
        <f>" кв. "&amp;B254</f>
        <v xml:space="preserve"> кв. 20</v>
      </c>
      <c r="D254" s="5" t="str">
        <f>CONCATENATE(A254,C254)</f>
        <v>Беломорская ул., дом 3 к.1 кв. 20</v>
      </c>
      <c r="E254" s="3">
        <f>HYPERLINK("https://sao.dolgi.msk.ru/account/1404177907/", 1404177907)</f>
        <v>1404177907</v>
      </c>
      <c r="F254">
        <v>1182.96</v>
      </c>
    </row>
    <row r="255" spans="1:6" hidden="1" x14ac:dyDescent="0.25">
      <c r="A255" t="s">
        <v>236</v>
      </c>
      <c r="B255" t="s">
        <v>25</v>
      </c>
      <c r="E255" s="3">
        <f>HYPERLINK("https://sao.dolgi.msk.ru/account/1404178045/", 1404178045)</f>
        <v>1404178045</v>
      </c>
      <c r="F255">
        <v>0</v>
      </c>
    </row>
    <row r="256" spans="1:6" hidden="1" x14ac:dyDescent="0.25">
      <c r="A256" t="s">
        <v>236</v>
      </c>
      <c r="B256" t="s">
        <v>26</v>
      </c>
      <c r="E256" s="3">
        <f>HYPERLINK("https://sao.dolgi.msk.ru/account/1404178643/", 1404178643)</f>
        <v>1404178643</v>
      </c>
      <c r="F256">
        <v>-1613.11</v>
      </c>
    </row>
    <row r="257" spans="1:6" hidden="1" x14ac:dyDescent="0.25">
      <c r="A257" t="s">
        <v>236</v>
      </c>
      <c r="B257" t="s">
        <v>27</v>
      </c>
      <c r="E257" s="3">
        <f>HYPERLINK("https://sao.dolgi.msk.ru/account/1404177755/", 1404177755)</f>
        <v>1404177755</v>
      </c>
      <c r="F257">
        <v>-2925.78</v>
      </c>
    </row>
    <row r="258" spans="1:6" hidden="1" x14ac:dyDescent="0.25">
      <c r="A258" t="s">
        <v>236</v>
      </c>
      <c r="B258" t="s">
        <v>28</v>
      </c>
      <c r="E258" s="3">
        <f>HYPERLINK("https://sao.dolgi.msk.ru/account/1404177616/", 1404177616)</f>
        <v>1404177616</v>
      </c>
      <c r="F258">
        <v>-2172.37</v>
      </c>
    </row>
    <row r="259" spans="1:6" x14ac:dyDescent="0.25">
      <c r="A259" t="s">
        <v>236</v>
      </c>
      <c r="B259" t="s">
        <v>29</v>
      </c>
      <c r="C259" s="5" t="str">
        <f>" кв. "&amp;B259</f>
        <v xml:space="preserve"> кв. 25</v>
      </c>
      <c r="D259" s="5" t="str">
        <f>CONCATENATE(A259,C259)</f>
        <v>Беломорская ул., дом 3 к.1 кв. 25</v>
      </c>
      <c r="E259" s="3">
        <f>HYPERLINK("https://sao.dolgi.msk.ru/account/1404178459/", 1404178459)</f>
        <v>1404178459</v>
      </c>
      <c r="F259">
        <v>700.61</v>
      </c>
    </row>
    <row r="260" spans="1:6" hidden="1" x14ac:dyDescent="0.25">
      <c r="A260" t="s">
        <v>236</v>
      </c>
      <c r="B260" t="s">
        <v>30</v>
      </c>
      <c r="E260" s="3">
        <f>HYPERLINK("https://sao.dolgi.msk.ru/account/1404177763/", 1404177763)</f>
        <v>1404177763</v>
      </c>
      <c r="F260">
        <v>0</v>
      </c>
    </row>
    <row r="261" spans="1:6" hidden="1" x14ac:dyDescent="0.25">
      <c r="A261" t="s">
        <v>236</v>
      </c>
      <c r="B261" t="s">
        <v>31</v>
      </c>
      <c r="E261" s="3">
        <f>HYPERLINK("https://sao.dolgi.msk.ru/account/1404178141/", 1404178141)</f>
        <v>1404178141</v>
      </c>
      <c r="F261">
        <v>0</v>
      </c>
    </row>
    <row r="262" spans="1:6" hidden="1" x14ac:dyDescent="0.25">
      <c r="A262" t="s">
        <v>236</v>
      </c>
      <c r="B262" t="s">
        <v>32</v>
      </c>
      <c r="E262" s="3">
        <f>HYPERLINK("https://sao.dolgi.msk.ru/account/1404177915/", 1404177915)</f>
        <v>1404177915</v>
      </c>
      <c r="F262">
        <v>-1594.62</v>
      </c>
    </row>
    <row r="263" spans="1:6" hidden="1" x14ac:dyDescent="0.25">
      <c r="A263" t="s">
        <v>236</v>
      </c>
      <c r="B263" t="s">
        <v>33</v>
      </c>
      <c r="E263" s="3">
        <f>HYPERLINK("https://sao.dolgi.msk.ru/account/1404178168/", 1404178168)</f>
        <v>1404178168</v>
      </c>
      <c r="F263">
        <v>0</v>
      </c>
    </row>
    <row r="264" spans="1:6" x14ac:dyDescent="0.25">
      <c r="A264" t="s">
        <v>236</v>
      </c>
      <c r="B264" t="s">
        <v>34</v>
      </c>
      <c r="C264" s="5" t="str">
        <f>" кв. "&amp;B264</f>
        <v xml:space="preserve"> кв. 30</v>
      </c>
      <c r="D264" s="5" t="str">
        <f>CONCATENATE(A264,C264)</f>
        <v>Беломорская ул., дом 3 к.1 кв. 30</v>
      </c>
      <c r="E264" s="3">
        <f>HYPERLINK("https://sao.dolgi.msk.ru/account/1404178176/", 1404178176)</f>
        <v>1404178176</v>
      </c>
      <c r="F264">
        <v>2005.34</v>
      </c>
    </row>
    <row r="265" spans="1:6" hidden="1" x14ac:dyDescent="0.25">
      <c r="A265" t="s">
        <v>236</v>
      </c>
      <c r="B265" t="s">
        <v>35</v>
      </c>
      <c r="E265" s="3">
        <f>HYPERLINK("https://sao.dolgi.msk.ru/account/1404177923/", 1404177923)</f>
        <v>1404177923</v>
      </c>
      <c r="F265">
        <v>0</v>
      </c>
    </row>
    <row r="266" spans="1:6" hidden="1" x14ac:dyDescent="0.25">
      <c r="A266" t="s">
        <v>236</v>
      </c>
      <c r="B266" t="s">
        <v>36</v>
      </c>
      <c r="E266" s="3">
        <f>HYPERLINK("https://sao.dolgi.msk.ru/account/1404178053/", 1404178053)</f>
        <v>1404178053</v>
      </c>
      <c r="F266">
        <v>-2070.6799999999998</v>
      </c>
    </row>
    <row r="267" spans="1:6" x14ac:dyDescent="0.25">
      <c r="A267" t="s">
        <v>236</v>
      </c>
      <c r="B267" t="s">
        <v>37</v>
      </c>
      <c r="C267" s="5" t="str">
        <f>" кв. "&amp;B267</f>
        <v xml:space="preserve"> кв. 33</v>
      </c>
      <c r="D267" s="5" t="str">
        <f>CONCATENATE(A267,C267)</f>
        <v>Беломорская ул., дом 3 к.1 кв. 33</v>
      </c>
      <c r="E267" s="3">
        <f>HYPERLINK("https://sao.dolgi.msk.ru/account/1404178467/", 1404178467)</f>
        <v>1404178467</v>
      </c>
      <c r="F267">
        <v>896.71</v>
      </c>
    </row>
    <row r="268" spans="1:6" hidden="1" x14ac:dyDescent="0.25">
      <c r="A268" t="s">
        <v>236</v>
      </c>
      <c r="B268" t="s">
        <v>38</v>
      </c>
      <c r="E268" s="3">
        <f>HYPERLINK("https://sao.dolgi.msk.ru/account/1404178184/", 1404178184)</f>
        <v>1404178184</v>
      </c>
      <c r="F268">
        <v>0</v>
      </c>
    </row>
    <row r="269" spans="1:6" hidden="1" x14ac:dyDescent="0.25">
      <c r="A269" t="s">
        <v>236</v>
      </c>
      <c r="B269" t="s">
        <v>39</v>
      </c>
      <c r="E269" s="3">
        <f>HYPERLINK("https://sao.dolgi.msk.ru/account/1404178651/", 1404178651)</f>
        <v>1404178651</v>
      </c>
      <c r="F269">
        <v>-1603.86</v>
      </c>
    </row>
    <row r="270" spans="1:6" hidden="1" x14ac:dyDescent="0.25">
      <c r="A270" t="s">
        <v>236</v>
      </c>
      <c r="B270" t="s">
        <v>40</v>
      </c>
      <c r="E270" s="3">
        <f>HYPERLINK("https://sao.dolgi.msk.ru/account/1404178192/", 1404178192)</f>
        <v>1404178192</v>
      </c>
      <c r="F270">
        <v>-1617.73</v>
      </c>
    </row>
    <row r="271" spans="1:6" hidden="1" x14ac:dyDescent="0.25">
      <c r="A271" t="s">
        <v>236</v>
      </c>
      <c r="B271" t="s">
        <v>41</v>
      </c>
      <c r="E271" s="3">
        <f>HYPERLINK("https://sao.dolgi.msk.ru/account/1404178707/", 1404178707)</f>
        <v>1404178707</v>
      </c>
      <c r="F271">
        <v>-2935.01</v>
      </c>
    </row>
    <row r="272" spans="1:6" x14ac:dyDescent="0.25">
      <c r="A272" t="s">
        <v>236</v>
      </c>
      <c r="B272" t="s">
        <v>42</v>
      </c>
      <c r="C272" s="5" t="str">
        <f>" кв. "&amp;B272</f>
        <v xml:space="preserve"> кв. 38</v>
      </c>
      <c r="D272" s="5" t="str">
        <f>CONCATENATE(A272,C272)</f>
        <v>Беломорская ул., дом 3 к.1 кв. 38</v>
      </c>
      <c r="E272" s="3">
        <f>HYPERLINK("https://sao.dolgi.msk.ru/account/1404178395/", 1404178395)</f>
        <v>1404178395</v>
      </c>
      <c r="F272">
        <v>1486.61</v>
      </c>
    </row>
    <row r="273" spans="1:6" hidden="1" x14ac:dyDescent="0.25">
      <c r="A273" t="s">
        <v>236</v>
      </c>
      <c r="B273" t="s">
        <v>43</v>
      </c>
      <c r="E273" s="3">
        <f>HYPERLINK("https://sao.dolgi.msk.ru/account/1404178408/", 1404178408)</f>
        <v>1404178408</v>
      </c>
      <c r="F273">
        <v>-2047.57</v>
      </c>
    </row>
    <row r="274" spans="1:6" hidden="1" x14ac:dyDescent="0.25">
      <c r="A274" t="s">
        <v>236</v>
      </c>
      <c r="B274" t="s">
        <v>44</v>
      </c>
      <c r="E274" s="3">
        <f>HYPERLINK("https://sao.dolgi.msk.ru/account/1404178416/", 1404178416)</f>
        <v>1404178416</v>
      </c>
      <c r="F274">
        <v>-1751.76</v>
      </c>
    </row>
    <row r="275" spans="1:6" x14ac:dyDescent="0.25">
      <c r="A275" t="s">
        <v>236</v>
      </c>
      <c r="B275" t="s">
        <v>45</v>
      </c>
      <c r="C275" s="5" t="str">
        <f>" кв. "&amp;B275</f>
        <v xml:space="preserve"> кв. 41</v>
      </c>
      <c r="D275" s="5" t="str">
        <f>CONCATENATE(A275,C275)</f>
        <v>Беломорская ул., дом 3 к.1 кв. 41</v>
      </c>
      <c r="E275" s="3">
        <f>HYPERLINK("https://sao.dolgi.msk.ru/account/1404177659/", 1404177659)</f>
        <v>1404177659</v>
      </c>
      <c r="F275">
        <v>1201.94</v>
      </c>
    </row>
    <row r="276" spans="1:6" hidden="1" x14ac:dyDescent="0.25">
      <c r="A276" t="s">
        <v>236</v>
      </c>
      <c r="B276" t="s">
        <v>46</v>
      </c>
      <c r="E276" s="3">
        <f>HYPERLINK("https://sao.dolgi.msk.ru/account/1404177667/", 1404177667)</f>
        <v>1404177667</v>
      </c>
      <c r="F276">
        <v>-1603.86</v>
      </c>
    </row>
    <row r="277" spans="1:6" hidden="1" x14ac:dyDescent="0.25">
      <c r="A277" t="s">
        <v>236</v>
      </c>
      <c r="B277" t="s">
        <v>47</v>
      </c>
      <c r="E277" s="3">
        <f>HYPERLINK("https://sao.dolgi.msk.ru/account/1404178715/", 1404178715)</f>
        <v>1404178715</v>
      </c>
      <c r="F277">
        <v>0</v>
      </c>
    </row>
    <row r="278" spans="1:6" hidden="1" x14ac:dyDescent="0.25">
      <c r="A278" t="s">
        <v>236</v>
      </c>
      <c r="B278" t="s">
        <v>48</v>
      </c>
      <c r="E278" s="3">
        <f>HYPERLINK("https://sao.dolgi.msk.ru/account/1404178256/", 1404178256)</f>
        <v>1404178256</v>
      </c>
      <c r="F278">
        <v>-498.41</v>
      </c>
    </row>
    <row r="279" spans="1:6" hidden="1" x14ac:dyDescent="0.25">
      <c r="A279" t="s">
        <v>236</v>
      </c>
      <c r="B279" t="s">
        <v>48</v>
      </c>
      <c r="E279" s="3">
        <f>HYPERLINK("https://sao.dolgi.msk.ru/account/1404178424/", 1404178424)</f>
        <v>1404178424</v>
      </c>
      <c r="F279">
        <v>-1993.65</v>
      </c>
    </row>
    <row r="280" spans="1:6" hidden="1" x14ac:dyDescent="0.25">
      <c r="A280" t="s">
        <v>236</v>
      </c>
      <c r="B280" t="s">
        <v>49</v>
      </c>
      <c r="E280" s="3">
        <f>HYPERLINK("https://sao.dolgi.msk.ru/account/1404178512/", 1404178512)</f>
        <v>1404178512</v>
      </c>
      <c r="F280">
        <v>-682.84</v>
      </c>
    </row>
    <row r="281" spans="1:6" hidden="1" x14ac:dyDescent="0.25">
      <c r="A281" t="s">
        <v>236</v>
      </c>
      <c r="B281" t="s">
        <v>50</v>
      </c>
      <c r="E281" s="3">
        <f>HYPERLINK("https://sao.dolgi.msk.ru/account/1404178264/", 1404178264)</f>
        <v>1404178264</v>
      </c>
      <c r="F281">
        <v>-1165.71</v>
      </c>
    </row>
    <row r="282" spans="1:6" hidden="1" x14ac:dyDescent="0.25">
      <c r="A282" t="s">
        <v>236</v>
      </c>
      <c r="B282" t="s">
        <v>51</v>
      </c>
      <c r="E282" s="3">
        <f>HYPERLINK("https://sao.dolgi.msk.ru/account/1404177835/", 1404177835)</f>
        <v>1404177835</v>
      </c>
      <c r="F282">
        <v>-1779.5</v>
      </c>
    </row>
    <row r="283" spans="1:6" hidden="1" x14ac:dyDescent="0.25">
      <c r="A283" t="s">
        <v>236</v>
      </c>
      <c r="B283" t="s">
        <v>52</v>
      </c>
      <c r="E283" s="3">
        <f>HYPERLINK("https://sao.dolgi.msk.ru/account/1404178723/", 1404178723)</f>
        <v>1404178723</v>
      </c>
      <c r="F283">
        <v>0</v>
      </c>
    </row>
    <row r="284" spans="1:6" hidden="1" x14ac:dyDescent="0.25">
      <c r="A284" t="s">
        <v>236</v>
      </c>
      <c r="B284" t="s">
        <v>53</v>
      </c>
      <c r="E284" s="3">
        <f>HYPERLINK("https://sao.dolgi.msk.ru/account/1404178272/", 1404178272)</f>
        <v>1404178272</v>
      </c>
      <c r="F284">
        <v>0</v>
      </c>
    </row>
    <row r="285" spans="1:6" hidden="1" x14ac:dyDescent="0.25">
      <c r="A285" t="s">
        <v>236</v>
      </c>
      <c r="B285" t="s">
        <v>54</v>
      </c>
      <c r="E285" s="3">
        <f>HYPERLINK("https://sao.dolgi.msk.ru/account/1404178539/", 1404178539)</f>
        <v>1404178539</v>
      </c>
      <c r="F285">
        <v>-1608.48</v>
      </c>
    </row>
    <row r="286" spans="1:6" hidden="1" x14ac:dyDescent="0.25">
      <c r="A286" t="s">
        <v>236</v>
      </c>
      <c r="B286" t="s">
        <v>55</v>
      </c>
      <c r="E286" s="3">
        <f>HYPERLINK("https://sao.dolgi.msk.ru/account/1404177843/", 1404177843)</f>
        <v>1404177843</v>
      </c>
      <c r="F286">
        <v>-2204.73</v>
      </c>
    </row>
    <row r="287" spans="1:6" x14ac:dyDescent="0.25">
      <c r="A287" t="s">
        <v>236</v>
      </c>
      <c r="B287" t="s">
        <v>56</v>
      </c>
      <c r="C287" s="5" t="str">
        <f t="shared" ref="C287:C289" si="21">" кв. "&amp;B287</f>
        <v xml:space="preserve"> кв. 52</v>
      </c>
      <c r="D287" s="5" t="str">
        <f>CONCATENATE(A287,C287)</f>
        <v>Беломорская ул., дом 3 к.1 кв. 52</v>
      </c>
      <c r="E287" s="3">
        <f>HYPERLINK("https://sao.dolgi.msk.ru/account/1404178301/", 1404178301)</f>
        <v>1404178301</v>
      </c>
      <c r="F287">
        <v>974.2</v>
      </c>
    </row>
    <row r="288" spans="1:6" x14ac:dyDescent="0.25">
      <c r="A288" t="s">
        <v>236</v>
      </c>
      <c r="B288" t="s">
        <v>57</v>
      </c>
      <c r="C288" s="5" t="str">
        <f t="shared" si="21"/>
        <v xml:space="preserve"> кв. 53</v>
      </c>
      <c r="D288" s="5" t="str">
        <f>CONCATENATE(A288,C288)</f>
        <v>Беломорская ул., дом 3 к.1 кв. 53</v>
      </c>
      <c r="E288" s="3">
        <f>HYPERLINK("https://sao.dolgi.msk.ru/account/1404178731/", 1404178731)</f>
        <v>1404178731</v>
      </c>
      <c r="F288">
        <v>1426.51</v>
      </c>
    </row>
    <row r="289" spans="1:6" x14ac:dyDescent="0.25">
      <c r="A289" t="s">
        <v>236</v>
      </c>
      <c r="B289" t="s">
        <v>58</v>
      </c>
      <c r="C289" s="5" t="str">
        <f t="shared" si="21"/>
        <v xml:space="preserve"> кв. 54</v>
      </c>
      <c r="D289" s="5" t="str">
        <f>CONCATENATE(A289,C289)</f>
        <v>Беломорская ул., дом 3 к.1 кв. 54</v>
      </c>
      <c r="E289" s="3">
        <f>HYPERLINK("https://sao.dolgi.msk.ru/account/1404177675/", 1404177675)</f>
        <v>1404177675</v>
      </c>
      <c r="F289">
        <v>1220.92</v>
      </c>
    </row>
    <row r="290" spans="1:6" hidden="1" x14ac:dyDescent="0.25">
      <c r="A290" t="s">
        <v>236</v>
      </c>
      <c r="B290" t="s">
        <v>59</v>
      </c>
      <c r="E290" s="3">
        <f>HYPERLINK("https://sao.dolgi.msk.ru/account/1404177704/", 1404177704)</f>
        <v>1404177704</v>
      </c>
      <c r="F290">
        <v>-1524.89</v>
      </c>
    </row>
    <row r="291" spans="1:6" hidden="1" x14ac:dyDescent="0.25">
      <c r="A291" t="s">
        <v>236</v>
      </c>
      <c r="B291" t="s">
        <v>60</v>
      </c>
      <c r="E291" s="3">
        <f>HYPERLINK("https://sao.dolgi.msk.ru/account/1404177851/", 1404177851)</f>
        <v>1404177851</v>
      </c>
      <c r="F291">
        <v>-1599.24</v>
      </c>
    </row>
    <row r="292" spans="1:6" hidden="1" x14ac:dyDescent="0.25">
      <c r="A292" t="s">
        <v>236</v>
      </c>
      <c r="B292" t="s">
        <v>61</v>
      </c>
      <c r="E292" s="3">
        <f>HYPERLINK("https://sao.dolgi.msk.ru/account/1404178336/", 1404178336)</f>
        <v>1404178336</v>
      </c>
      <c r="F292">
        <v>-1608.48</v>
      </c>
    </row>
    <row r="293" spans="1:6" hidden="1" x14ac:dyDescent="0.25">
      <c r="A293" t="s">
        <v>236</v>
      </c>
      <c r="B293" t="s">
        <v>62</v>
      </c>
      <c r="E293" s="3">
        <f>HYPERLINK("https://sao.dolgi.msk.ru/account/1404177544/", 1404177544)</f>
        <v>1404177544</v>
      </c>
      <c r="F293">
        <v>0</v>
      </c>
    </row>
    <row r="294" spans="1:6" hidden="1" x14ac:dyDescent="0.25">
      <c r="A294" t="s">
        <v>236</v>
      </c>
      <c r="B294" t="s">
        <v>63</v>
      </c>
      <c r="E294" s="3">
        <f>HYPERLINK("https://sao.dolgi.msk.ru/account/1404177552/", 1404177552)</f>
        <v>1404177552</v>
      </c>
      <c r="F294">
        <v>-1285.8900000000001</v>
      </c>
    </row>
    <row r="295" spans="1:6" x14ac:dyDescent="0.25">
      <c r="A295" t="s">
        <v>236</v>
      </c>
      <c r="B295" t="s">
        <v>64</v>
      </c>
      <c r="C295" s="5" t="str">
        <f>" кв. "&amp;B295</f>
        <v xml:space="preserve"> кв. 60</v>
      </c>
      <c r="D295" s="5" t="str">
        <f>CONCATENATE(A295,C295)</f>
        <v>Беломорская ул., дом 3 к.1 кв. 60</v>
      </c>
      <c r="E295" s="3">
        <f>HYPERLINK("https://sao.dolgi.msk.ru/account/1404178432/", 1404178432)</f>
        <v>1404178432</v>
      </c>
      <c r="F295">
        <v>1417.02</v>
      </c>
    </row>
    <row r="296" spans="1:6" hidden="1" x14ac:dyDescent="0.25">
      <c r="A296" t="s">
        <v>236</v>
      </c>
      <c r="B296" t="s">
        <v>65</v>
      </c>
      <c r="E296" s="3">
        <f>HYPERLINK("https://sao.dolgi.msk.ru/account/1404178133/", 1404178133)</f>
        <v>1404178133</v>
      </c>
      <c r="F296">
        <v>-1788.74</v>
      </c>
    </row>
    <row r="297" spans="1:6" x14ac:dyDescent="0.25">
      <c r="A297" t="s">
        <v>236</v>
      </c>
      <c r="B297" t="s">
        <v>66</v>
      </c>
      <c r="C297" s="5" t="str">
        <f>" кв. "&amp;B297</f>
        <v xml:space="preserve"> кв. 62</v>
      </c>
      <c r="D297" s="5" t="str">
        <f>CONCATENATE(A297,C297)</f>
        <v>Беломорская ул., дом 3 к.1 кв. 62</v>
      </c>
      <c r="E297" s="3">
        <f>HYPERLINK("https://sao.dolgi.msk.ru/account/1404178037/", 1404178037)</f>
        <v>1404178037</v>
      </c>
      <c r="F297">
        <v>1217.76</v>
      </c>
    </row>
    <row r="298" spans="1:6" hidden="1" x14ac:dyDescent="0.25">
      <c r="A298" t="s">
        <v>236</v>
      </c>
      <c r="B298" t="s">
        <v>67</v>
      </c>
      <c r="E298" s="3">
        <f>HYPERLINK("https://sao.dolgi.msk.ru/account/1404177878/", 1404177878)</f>
        <v>1404177878</v>
      </c>
      <c r="F298">
        <v>-1622.35</v>
      </c>
    </row>
    <row r="299" spans="1:6" hidden="1" x14ac:dyDescent="0.25">
      <c r="A299" t="s">
        <v>236</v>
      </c>
      <c r="B299" t="s">
        <v>68</v>
      </c>
      <c r="E299" s="3">
        <f>HYPERLINK("https://sao.dolgi.msk.ru/account/1404177579/", 1404177579)</f>
        <v>1404177579</v>
      </c>
      <c r="F299">
        <v>0</v>
      </c>
    </row>
    <row r="300" spans="1:6" hidden="1" x14ac:dyDescent="0.25">
      <c r="A300" t="s">
        <v>236</v>
      </c>
      <c r="B300" t="s">
        <v>69</v>
      </c>
      <c r="E300" s="3">
        <f>HYPERLINK("https://sao.dolgi.msk.ru/account/1404177931/", 1404177931)</f>
        <v>1404177931</v>
      </c>
      <c r="F300">
        <v>0</v>
      </c>
    </row>
    <row r="301" spans="1:6" x14ac:dyDescent="0.25">
      <c r="A301" t="s">
        <v>236</v>
      </c>
      <c r="B301" t="s">
        <v>70</v>
      </c>
      <c r="C301" s="5" t="str">
        <f>" кв. "&amp;B301</f>
        <v xml:space="preserve"> кв. 66</v>
      </c>
      <c r="D301" s="5" t="str">
        <f>CONCATENATE(A301,C301)</f>
        <v>Беломорская ул., дом 3 к.1 кв. 66</v>
      </c>
      <c r="E301" s="3">
        <f>HYPERLINK("https://sao.dolgi.msk.ru/account/1404177958/", 1404177958)</f>
        <v>1404177958</v>
      </c>
      <c r="F301">
        <v>1502.43</v>
      </c>
    </row>
    <row r="302" spans="1:6" hidden="1" x14ac:dyDescent="0.25">
      <c r="A302" t="s">
        <v>236</v>
      </c>
      <c r="B302" t="s">
        <v>71</v>
      </c>
      <c r="E302" s="3">
        <f>HYPERLINK("https://sao.dolgi.msk.ru/account/1404177966/", 1404177966)</f>
        <v>1404177966</v>
      </c>
      <c r="F302">
        <v>-2066.06</v>
      </c>
    </row>
    <row r="303" spans="1:6" x14ac:dyDescent="0.25">
      <c r="A303" t="s">
        <v>236</v>
      </c>
      <c r="B303" t="s">
        <v>72</v>
      </c>
      <c r="C303" s="5" t="str">
        <f t="shared" ref="C303:C304" si="22">" кв. "&amp;B303</f>
        <v xml:space="preserve"> кв. 68</v>
      </c>
      <c r="D303" s="5" t="str">
        <f>CONCATENATE(A303,C303)</f>
        <v>Беломорская ул., дом 3 к.1 кв. 68</v>
      </c>
      <c r="E303" s="3">
        <f>HYPERLINK("https://sao.dolgi.msk.ru/account/1404178205/", 1404178205)</f>
        <v>1404178205</v>
      </c>
      <c r="F303">
        <v>1220.92</v>
      </c>
    </row>
    <row r="304" spans="1:6" x14ac:dyDescent="0.25">
      <c r="A304" t="s">
        <v>236</v>
      </c>
      <c r="B304" t="s">
        <v>73</v>
      </c>
      <c r="C304" s="5" t="str">
        <f t="shared" si="22"/>
        <v xml:space="preserve"> кв. 69</v>
      </c>
      <c r="D304" s="5" t="str">
        <f>CONCATENATE(A304,C304)</f>
        <v>Беломорская ул., дом 3 к.1 кв. 69</v>
      </c>
      <c r="E304" s="3">
        <f>HYPERLINK("https://sao.dolgi.msk.ru/account/1404178061/", 1404178061)</f>
        <v>1404178061</v>
      </c>
      <c r="F304">
        <v>1220.92</v>
      </c>
    </row>
    <row r="305" spans="1:6" hidden="1" x14ac:dyDescent="0.25">
      <c r="A305" t="s">
        <v>236</v>
      </c>
      <c r="B305" t="s">
        <v>74</v>
      </c>
      <c r="E305" s="3">
        <f>HYPERLINK("https://sao.dolgi.msk.ru/account/1404177771/", 1404177771)</f>
        <v>1404177771</v>
      </c>
      <c r="F305">
        <v>-1603.86</v>
      </c>
    </row>
    <row r="306" spans="1:6" hidden="1" x14ac:dyDescent="0.25">
      <c r="A306" t="s">
        <v>236</v>
      </c>
      <c r="B306" t="s">
        <v>75</v>
      </c>
      <c r="E306" s="3">
        <f>HYPERLINK("https://sao.dolgi.msk.ru/account/1404178213/", 1404178213)</f>
        <v>1404178213</v>
      </c>
      <c r="F306">
        <v>0</v>
      </c>
    </row>
    <row r="307" spans="1:6" x14ac:dyDescent="0.25">
      <c r="A307" t="s">
        <v>236</v>
      </c>
      <c r="B307" t="s">
        <v>76</v>
      </c>
      <c r="C307" s="5" t="str">
        <f t="shared" ref="C307:C308" si="23">" кв. "&amp;B307</f>
        <v xml:space="preserve"> кв. 72</v>
      </c>
      <c r="D307" s="5" t="str">
        <f>CONCATENATE(A307,C307)</f>
        <v>Беломорская ул., дом 3 к.1 кв. 72</v>
      </c>
      <c r="E307" s="3">
        <f>HYPERLINK("https://sao.dolgi.msk.ru/account/1404178483/", 1404178483)</f>
        <v>1404178483</v>
      </c>
      <c r="F307">
        <v>2062.2800000000002</v>
      </c>
    </row>
    <row r="308" spans="1:6" x14ac:dyDescent="0.25">
      <c r="A308" t="s">
        <v>236</v>
      </c>
      <c r="B308" t="s">
        <v>77</v>
      </c>
      <c r="C308" s="5" t="str">
        <f t="shared" si="23"/>
        <v xml:space="preserve"> кв. 73</v>
      </c>
      <c r="D308" s="5" t="str">
        <f>CONCATENATE(A308,C308)</f>
        <v>Беломорская ул., дом 3 к.1 кв. 73</v>
      </c>
      <c r="E308" s="3">
        <f>HYPERLINK("https://sao.dolgi.msk.ru/account/1404178088/", 1404178088)</f>
        <v>1404178088</v>
      </c>
      <c r="F308">
        <v>1486.61</v>
      </c>
    </row>
    <row r="309" spans="1:6" hidden="1" x14ac:dyDescent="0.25">
      <c r="A309" t="s">
        <v>236</v>
      </c>
      <c r="B309" t="s">
        <v>78</v>
      </c>
      <c r="E309" s="3">
        <f>HYPERLINK("https://sao.dolgi.msk.ru/account/1404178491/", 1404178491)</f>
        <v>1404178491</v>
      </c>
      <c r="F309">
        <v>0</v>
      </c>
    </row>
    <row r="310" spans="1:6" hidden="1" x14ac:dyDescent="0.25">
      <c r="A310" t="s">
        <v>236</v>
      </c>
      <c r="B310" t="s">
        <v>79</v>
      </c>
      <c r="E310" s="3">
        <f>HYPERLINK("https://sao.dolgi.msk.ru/account/1404178387/", 1404178387)</f>
        <v>1404178387</v>
      </c>
      <c r="F310">
        <v>-1021.48</v>
      </c>
    </row>
    <row r="311" spans="1:6" hidden="1" x14ac:dyDescent="0.25">
      <c r="A311" t="s">
        <v>236</v>
      </c>
      <c r="B311" t="s">
        <v>80</v>
      </c>
      <c r="E311" s="3">
        <f>HYPERLINK("https://sao.dolgi.msk.ru/account/1404177974/", 1404177974)</f>
        <v>1404177974</v>
      </c>
      <c r="F311">
        <v>-1784.12</v>
      </c>
    </row>
    <row r="312" spans="1:6" hidden="1" x14ac:dyDescent="0.25">
      <c r="A312" t="s">
        <v>236</v>
      </c>
      <c r="B312" t="s">
        <v>81</v>
      </c>
      <c r="E312" s="3">
        <f>HYPERLINK("https://sao.dolgi.msk.ru/account/1404177798/", 1404177798)</f>
        <v>1404177798</v>
      </c>
      <c r="F312">
        <v>-1613.11</v>
      </c>
    </row>
    <row r="313" spans="1:6" hidden="1" x14ac:dyDescent="0.25">
      <c r="A313" t="s">
        <v>236</v>
      </c>
      <c r="B313" t="s">
        <v>82</v>
      </c>
      <c r="E313" s="3">
        <f>HYPERLINK("https://sao.dolgi.msk.ru/account/1404177819/", 1404177819)</f>
        <v>1404177819</v>
      </c>
      <c r="F313">
        <v>-1608.48</v>
      </c>
    </row>
    <row r="314" spans="1:6" x14ac:dyDescent="0.25">
      <c r="A314" t="s">
        <v>236</v>
      </c>
      <c r="B314" t="s">
        <v>83</v>
      </c>
      <c r="C314" s="5" t="str">
        <f t="shared" ref="C314:C315" si="24">" кв. "&amp;B314</f>
        <v xml:space="preserve"> кв. 79</v>
      </c>
      <c r="D314" s="5" t="str">
        <f>CONCATENATE(A314,C314)</f>
        <v>Беломорская ул., дом 3 к.1 кв. 79</v>
      </c>
      <c r="E314" s="3">
        <f>HYPERLINK("https://sao.dolgi.msk.ru/account/1404177827/", 1404177827)</f>
        <v>1404177827</v>
      </c>
      <c r="F314">
        <v>1024.81</v>
      </c>
    </row>
    <row r="315" spans="1:6" x14ac:dyDescent="0.25">
      <c r="A315" t="s">
        <v>236</v>
      </c>
      <c r="B315" t="s">
        <v>84</v>
      </c>
      <c r="C315" s="5" t="str">
        <f t="shared" si="24"/>
        <v xml:space="preserve"> кв. 80</v>
      </c>
      <c r="D315" s="5" t="str">
        <f>CONCATENATE(A315,C315)</f>
        <v>Беломорская ул., дом 3 к.1 кв. 80</v>
      </c>
      <c r="E315" s="3">
        <f>HYPERLINK("https://sao.dolgi.msk.ru/account/1404178221/", 1404178221)</f>
        <v>1404178221</v>
      </c>
      <c r="F315">
        <v>1486.61</v>
      </c>
    </row>
    <row r="316" spans="1:6" hidden="1" x14ac:dyDescent="0.25">
      <c r="A316" t="s">
        <v>236</v>
      </c>
      <c r="B316" t="s">
        <v>85</v>
      </c>
      <c r="E316" s="3">
        <f>HYPERLINK("https://sao.dolgi.msk.ru/account/1404178678/", 1404178678)</f>
        <v>1404178678</v>
      </c>
      <c r="F316">
        <v>-2833.47</v>
      </c>
    </row>
    <row r="317" spans="1:6" x14ac:dyDescent="0.25">
      <c r="A317" t="s">
        <v>236</v>
      </c>
      <c r="B317" t="s">
        <v>86</v>
      </c>
      <c r="C317" s="5" t="str">
        <f>" кв. "&amp;B317</f>
        <v xml:space="preserve"> кв. 82</v>
      </c>
      <c r="D317" s="5" t="str">
        <f>CONCATENATE(A317,C317)</f>
        <v>Беломорская ул., дом 3 к.1 кв. 82</v>
      </c>
      <c r="E317" s="3">
        <f>HYPERLINK("https://sao.dolgi.msk.ru/account/1404178686/", 1404178686)</f>
        <v>1404178686</v>
      </c>
      <c r="F317">
        <v>1217.76</v>
      </c>
    </row>
    <row r="318" spans="1:6" hidden="1" x14ac:dyDescent="0.25">
      <c r="A318" t="s">
        <v>236</v>
      </c>
      <c r="B318" t="s">
        <v>87</v>
      </c>
      <c r="E318" s="3">
        <f>HYPERLINK("https://sao.dolgi.msk.ru/account/1404178694/", 1404178694)</f>
        <v>1404178694</v>
      </c>
      <c r="F318">
        <v>-1779.5</v>
      </c>
    </row>
    <row r="319" spans="1:6" hidden="1" x14ac:dyDescent="0.25">
      <c r="A319" t="s">
        <v>236</v>
      </c>
      <c r="B319" t="s">
        <v>88</v>
      </c>
      <c r="E319" s="3">
        <f>HYPERLINK("https://sao.dolgi.msk.ru/account/1404178248/", 1404178248)</f>
        <v>1404178248</v>
      </c>
      <c r="F319">
        <v>-1354.6</v>
      </c>
    </row>
    <row r="320" spans="1:6" x14ac:dyDescent="0.25">
      <c r="A320" t="s">
        <v>236</v>
      </c>
      <c r="B320" t="s">
        <v>89</v>
      </c>
      <c r="C320" s="5" t="str">
        <f>" кв. "&amp;B320</f>
        <v xml:space="preserve"> кв. 85</v>
      </c>
      <c r="D320" s="5" t="str">
        <f>CONCATENATE(A320,C320)</f>
        <v>Беломорская ул., дом 3 к.1 кв. 85</v>
      </c>
      <c r="E320" s="3">
        <f>HYPERLINK("https://sao.dolgi.msk.ru/account/1404178504/", 1404178504)</f>
        <v>1404178504</v>
      </c>
      <c r="F320">
        <v>1075.42</v>
      </c>
    </row>
    <row r="321" spans="1:6" hidden="1" x14ac:dyDescent="0.25">
      <c r="A321" t="s">
        <v>236</v>
      </c>
      <c r="B321" t="s">
        <v>90</v>
      </c>
      <c r="E321" s="3">
        <f>HYPERLINK("https://sao.dolgi.msk.ru/account/1404178547/", 1404178547)</f>
        <v>1404178547</v>
      </c>
      <c r="F321">
        <v>-2990.48</v>
      </c>
    </row>
    <row r="322" spans="1:6" hidden="1" x14ac:dyDescent="0.25">
      <c r="A322" t="s">
        <v>236</v>
      </c>
      <c r="B322" t="s">
        <v>91</v>
      </c>
      <c r="E322" s="3">
        <f>HYPERLINK("https://sao.dolgi.msk.ru/account/1404178555/", 1404178555)</f>
        <v>1404178555</v>
      </c>
      <c r="F322">
        <v>-1845.06</v>
      </c>
    </row>
    <row r="323" spans="1:6" hidden="1" x14ac:dyDescent="0.25">
      <c r="A323" t="s">
        <v>236</v>
      </c>
      <c r="B323" t="s">
        <v>92</v>
      </c>
      <c r="E323" s="3">
        <f>HYPERLINK("https://sao.dolgi.msk.ru/account/1404178563/", 1404178563)</f>
        <v>1404178563</v>
      </c>
      <c r="F323">
        <v>-2056.8200000000002</v>
      </c>
    </row>
    <row r="324" spans="1:6" x14ac:dyDescent="0.25">
      <c r="A324" t="s">
        <v>236</v>
      </c>
      <c r="B324" t="s">
        <v>93</v>
      </c>
      <c r="C324" s="5" t="str">
        <f>" кв. "&amp;B324</f>
        <v xml:space="preserve"> кв. 89</v>
      </c>
      <c r="D324" s="5" t="str">
        <f>CONCATENATE(A324,C324)</f>
        <v>Беломорская ул., дом 3 к.1 кв. 89</v>
      </c>
      <c r="E324" s="3">
        <f>HYPERLINK("https://sao.dolgi.msk.ru/account/1404178571/", 1404178571)</f>
        <v>1404178571</v>
      </c>
      <c r="F324">
        <v>1217.76</v>
      </c>
    </row>
    <row r="325" spans="1:6" hidden="1" x14ac:dyDescent="0.25">
      <c r="A325" t="s">
        <v>236</v>
      </c>
      <c r="B325" t="s">
        <v>94</v>
      </c>
      <c r="E325" s="3">
        <f>HYPERLINK("https://sao.dolgi.msk.ru/account/1404178109/", 1404178109)</f>
        <v>1404178109</v>
      </c>
      <c r="F325">
        <v>0</v>
      </c>
    </row>
    <row r="326" spans="1:6" hidden="1" x14ac:dyDescent="0.25">
      <c r="A326" t="s">
        <v>236</v>
      </c>
      <c r="B326" t="s">
        <v>95</v>
      </c>
      <c r="E326" s="3">
        <f>HYPERLINK("https://sao.dolgi.msk.ru/account/1404177683/", 1404177683)</f>
        <v>1404177683</v>
      </c>
      <c r="F326">
        <v>-1608.48</v>
      </c>
    </row>
    <row r="327" spans="1:6" hidden="1" x14ac:dyDescent="0.25">
      <c r="A327" t="s">
        <v>236</v>
      </c>
      <c r="B327" t="s">
        <v>96</v>
      </c>
      <c r="E327" s="3">
        <f>HYPERLINK("https://sao.dolgi.msk.ru/account/1404178598/", 1404178598)</f>
        <v>1404178598</v>
      </c>
      <c r="F327">
        <v>-13.7</v>
      </c>
    </row>
    <row r="328" spans="1:6" hidden="1" x14ac:dyDescent="0.25">
      <c r="A328" t="s">
        <v>236</v>
      </c>
      <c r="B328" t="s">
        <v>97</v>
      </c>
      <c r="E328" s="3">
        <f>HYPERLINK("https://sao.dolgi.msk.ru/account/1404178117/", 1404178117)</f>
        <v>1404178117</v>
      </c>
      <c r="F328">
        <v>-1499.88</v>
      </c>
    </row>
    <row r="329" spans="1:6" hidden="1" x14ac:dyDescent="0.25">
      <c r="A329" t="s">
        <v>236</v>
      </c>
      <c r="B329" t="s">
        <v>98</v>
      </c>
      <c r="E329" s="3">
        <f>HYPERLINK("https://sao.dolgi.msk.ru/account/1404178328/", 1404178328)</f>
        <v>1404178328</v>
      </c>
      <c r="F329">
        <v>0</v>
      </c>
    </row>
    <row r="330" spans="1:6" hidden="1" x14ac:dyDescent="0.25">
      <c r="A330" t="s">
        <v>236</v>
      </c>
      <c r="B330" t="s">
        <v>99</v>
      </c>
      <c r="E330" s="3">
        <f>HYPERLINK("https://sao.dolgi.msk.ru/account/1404178619/", 1404178619)</f>
        <v>1404178619</v>
      </c>
      <c r="F330">
        <v>-1210.28</v>
      </c>
    </row>
    <row r="331" spans="1:6" hidden="1" x14ac:dyDescent="0.25">
      <c r="A331" t="s">
        <v>236</v>
      </c>
      <c r="B331" t="s">
        <v>100</v>
      </c>
      <c r="E331" s="3">
        <f>HYPERLINK("https://sao.dolgi.msk.ru/account/1404177691/", 1404177691)</f>
        <v>1404177691</v>
      </c>
      <c r="F331">
        <v>-896.68</v>
      </c>
    </row>
    <row r="332" spans="1:6" hidden="1" x14ac:dyDescent="0.25">
      <c r="A332" t="s">
        <v>236</v>
      </c>
      <c r="B332" t="s">
        <v>101</v>
      </c>
      <c r="E332" s="3">
        <f>HYPERLINK("https://sao.dolgi.msk.ru/account/1404178125/", 1404178125)</f>
        <v>1404178125</v>
      </c>
      <c r="F332">
        <v>0</v>
      </c>
    </row>
    <row r="333" spans="1:6" hidden="1" x14ac:dyDescent="0.25">
      <c r="A333" t="s">
        <v>236</v>
      </c>
      <c r="B333" t="s">
        <v>102</v>
      </c>
      <c r="E333" s="3">
        <f>HYPERLINK("https://sao.dolgi.msk.ru/account/1404178627/", 1404178627)</f>
        <v>1404178627</v>
      </c>
      <c r="F333">
        <v>-1603.86</v>
      </c>
    </row>
    <row r="334" spans="1:6" hidden="1" x14ac:dyDescent="0.25">
      <c r="A334" t="s">
        <v>237</v>
      </c>
      <c r="B334" t="s">
        <v>5</v>
      </c>
      <c r="E334" s="3">
        <f>HYPERLINK("https://sao.dolgi.msk.ru/account/1404101339/", 1404101339)</f>
        <v>1404101339</v>
      </c>
      <c r="F334">
        <v>-4653.32</v>
      </c>
    </row>
    <row r="335" spans="1:6" hidden="1" x14ac:dyDescent="0.25">
      <c r="A335" t="s">
        <v>237</v>
      </c>
      <c r="B335" t="s">
        <v>6</v>
      </c>
      <c r="E335" s="3">
        <f>HYPERLINK("https://sao.dolgi.msk.ru/account/1404102884/", 1404102884)</f>
        <v>1404102884</v>
      </c>
      <c r="F335">
        <v>-359.51</v>
      </c>
    </row>
    <row r="336" spans="1:6" hidden="1" x14ac:dyDescent="0.25">
      <c r="A336" t="s">
        <v>237</v>
      </c>
      <c r="B336" t="s">
        <v>7</v>
      </c>
      <c r="E336" s="3">
        <f>HYPERLINK("https://sao.dolgi.msk.ru/account/1404103633/", 1404103633)</f>
        <v>1404103633</v>
      </c>
      <c r="F336">
        <v>-4967.82</v>
      </c>
    </row>
    <row r="337" spans="1:6" hidden="1" x14ac:dyDescent="0.25">
      <c r="A337" t="s">
        <v>237</v>
      </c>
      <c r="B337" t="s">
        <v>8</v>
      </c>
      <c r="E337" s="3">
        <f>HYPERLINK("https://sao.dolgi.msk.ru/account/1404101638/", 1404101638)</f>
        <v>1404101638</v>
      </c>
      <c r="F337">
        <v>0</v>
      </c>
    </row>
    <row r="338" spans="1:6" hidden="1" x14ac:dyDescent="0.25">
      <c r="A338" t="s">
        <v>237</v>
      </c>
      <c r="B338" t="s">
        <v>9</v>
      </c>
      <c r="E338" s="3">
        <f>HYPERLINK("https://sao.dolgi.msk.ru/account/1404102307/", 1404102307)</f>
        <v>1404102307</v>
      </c>
      <c r="F338">
        <v>-4225.4399999999996</v>
      </c>
    </row>
    <row r="339" spans="1:6" hidden="1" x14ac:dyDescent="0.25">
      <c r="A339" t="s">
        <v>237</v>
      </c>
      <c r="B339" t="s">
        <v>10</v>
      </c>
      <c r="E339" s="3">
        <f>HYPERLINK("https://sao.dolgi.msk.ru/account/1404102315/", 1404102315)</f>
        <v>1404102315</v>
      </c>
      <c r="F339">
        <v>-3508.51</v>
      </c>
    </row>
    <row r="340" spans="1:6" hidden="1" x14ac:dyDescent="0.25">
      <c r="A340" t="s">
        <v>237</v>
      </c>
      <c r="B340" t="s">
        <v>11</v>
      </c>
      <c r="E340" s="3">
        <f>HYPERLINK("https://sao.dolgi.msk.ru/account/1404103051/", 1404103051)</f>
        <v>1404103051</v>
      </c>
      <c r="F340">
        <v>-4544.3599999999997</v>
      </c>
    </row>
    <row r="341" spans="1:6" x14ac:dyDescent="0.25">
      <c r="A341" t="s">
        <v>237</v>
      </c>
      <c r="B341" t="s">
        <v>12</v>
      </c>
      <c r="C341" s="5" t="str">
        <f>" кв. "&amp;B341</f>
        <v xml:space="preserve"> кв. 8</v>
      </c>
      <c r="D341" s="5" t="str">
        <f>CONCATENATE(A341,C341)</f>
        <v>Беломорская ул., дом 5 к.1 кв. 8</v>
      </c>
      <c r="E341" s="3">
        <f>HYPERLINK("https://sao.dolgi.msk.ru/account/1404102622/", 1404102622)</f>
        <v>1404102622</v>
      </c>
      <c r="F341">
        <v>26972.25</v>
      </c>
    </row>
    <row r="342" spans="1:6" hidden="1" x14ac:dyDescent="0.25">
      <c r="A342" t="s">
        <v>237</v>
      </c>
      <c r="B342" t="s">
        <v>13</v>
      </c>
      <c r="E342" s="3">
        <f>HYPERLINK("https://sao.dolgi.msk.ru/account/1404103043/", 1404103043)</f>
        <v>1404103043</v>
      </c>
      <c r="F342">
        <v>-3518.25</v>
      </c>
    </row>
    <row r="343" spans="1:6" hidden="1" x14ac:dyDescent="0.25">
      <c r="A343" t="s">
        <v>237</v>
      </c>
      <c r="B343" t="s">
        <v>14</v>
      </c>
      <c r="E343" s="3">
        <f>HYPERLINK("https://sao.dolgi.msk.ru/account/1404101347/", 1404101347)</f>
        <v>1404101347</v>
      </c>
      <c r="F343">
        <v>-2946.03</v>
      </c>
    </row>
    <row r="344" spans="1:6" hidden="1" x14ac:dyDescent="0.25">
      <c r="A344" t="s">
        <v>237</v>
      </c>
      <c r="B344" t="s">
        <v>15</v>
      </c>
      <c r="E344" s="3">
        <f>HYPERLINK("https://sao.dolgi.msk.ru/account/1404103086/", 1404103086)</f>
        <v>1404103086</v>
      </c>
      <c r="F344">
        <v>-5342.65</v>
      </c>
    </row>
    <row r="345" spans="1:6" hidden="1" x14ac:dyDescent="0.25">
      <c r="A345" t="s">
        <v>237</v>
      </c>
      <c r="B345" t="s">
        <v>16</v>
      </c>
      <c r="E345" s="3">
        <f>HYPERLINK("https://sao.dolgi.msk.ru/account/1404103414/", 1404103414)</f>
        <v>1404103414</v>
      </c>
      <c r="F345">
        <v>-6340.46</v>
      </c>
    </row>
    <row r="346" spans="1:6" hidden="1" x14ac:dyDescent="0.25">
      <c r="A346" t="s">
        <v>237</v>
      </c>
      <c r="B346" t="s">
        <v>17</v>
      </c>
      <c r="E346" s="3">
        <f>HYPERLINK("https://sao.dolgi.msk.ru/account/1404101056/", 1404101056)</f>
        <v>1404101056</v>
      </c>
      <c r="F346">
        <v>-5357.34</v>
      </c>
    </row>
    <row r="347" spans="1:6" x14ac:dyDescent="0.25">
      <c r="A347" t="s">
        <v>237</v>
      </c>
      <c r="B347" t="s">
        <v>18</v>
      </c>
      <c r="C347" s="5" t="str">
        <f>" кв. "&amp;B347</f>
        <v xml:space="preserve"> кв. 14</v>
      </c>
      <c r="D347" s="5" t="str">
        <f>CONCATENATE(A347,C347)</f>
        <v>Беломорская ул., дом 5 к.1 кв. 14</v>
      </c>
      <c r="E347" s="3">
        <f>HYPERLINK("https://sao.dolgi.msk.ru/account/1404101064/", 1404101064)</f>
        <v>1404101064</v>
      </c>
      <c r="F347">
        <v>24028.29</v>
      </c>
    </row>
    <row r="348" spans="1:6" hidden="1" x14ac:dyDescent="0.25">
      <c r="A348" t="s">
        <v>237</v>
      </c>
      <c r="B348" t="s">
        <v>19</v>
      </c>
      <c r="E348" s="3">
        <f>HYPERLINK("https://sao.dolgi.msk.ru/account/1404101486/", 1404101486)</f>
        <v>1404101486</v>
      </c>
      <c r="F348">
        <v>-2789.64</v>
      </c>
    </row>
    <row r="349" spans="1:6" hidden="1" x14ac:dyDescent="0.25">
      <c r="A349" t="s">
        <v>237</v>
      </c>
      <c r="B349" t="s">
        <v>20</v>
      </c>
      <c r="E349" s="3">
        <f>HYPERLINK("https://sao.dolgi.msk.ru/account/1404103473/", 1404103473)</f>
        <v>1404103473</v>
      </c>
      <c r="F349">
        <v>-5072.72</v>
      </c>
    </row>
    <row r="350" spans="1:6" hidden="1" x14ac:dyDescent="0.25">
      <c r="A350" t="s">
        <v>237</v>
      </c>
      <c r="B350" t="s">
        <v>21</v>
      </c>
      <c r="E350" s="3">
        <f>HYPERLINK("https://sao.dolgi.msk.ru/account/1404103166/", 1404103166)</f>
        <v>1404103166</v>
      </c>
      <c r="F350">
        <v>-3060.84</v>
      </c>
    </row>
    <row r="351" spans="1:6" hidden="1" x14ac:dyDescent="0.25">
      <c r="A351" t="s">
        <v>237</v>
      </c>
      <c r="B351" t="s">
        <v>22</v>
      </c>
      <c r="E351" s="3">
        <f>HYPERLINK("https://sao.dolgi.msk.ru/account/1404102227/", 1404102227)</f>
        <v>1404102227</v>
      </c>
      <c r="F351">
        <v>-4372.26</v>
      </c>
    </row>
    <row r="352" spans="1:6" hidden="1" x14ac:dyDescent="0.25">
      <c r="A352" t="s">
        <v>237</v>
      </c>
      <c r="B352" t="s">
        <v>23</v>
      </c>
      <c r="E352" s="3">
        <f>HYPERLINK("https://sao.dolgi.msk.ru/account/1404102251/", 1404102251)</f>
        <v>1404102251</v>
      </c>
      <c r="F352">
        <v>-4372.26</v>
      </c>
    </row>
    <row r="353" spans="1:6" hidden="1" x14ac:dyDescent="0.25">
      <c r="A353" t="s">
        <v>237</v>
      </c>
      <c r="B353" t="s">
        <v>24</v>
      </c>
      <c r="E353" s="3">
        <f>HYPERLINK("https://sao.dolgi.msk.ru/account/1404102526/", 1404102526)</f>
        <v>1404102526</v>
      </c>
      <c r="F353">
        <v>0</v>
      </c>
    </row>
    <row r="354" spans="1:6" hidden="1" x14ac:dyDescent="0.25">
      <c r="A354" t="s">
        <v>237</v>
      </c>
      <c r="B354" t="s">
        <v>25</v>
      </c>
      <c r="E354" s="3">
        <f>HYPERLINK("https://sao.dolgi.msk.ru/account/1404103609/", 1404103609)</f>
        <v>1404103609</v>
      </c>
      <c r="F354">
        <v>-2446.35</v>
      </c>
    </row>
    <row r="355" spans="1:6" x14ac:dyDescent="0.25">
      <c r="A355" t="s">
        <v>237</v>
      </c>
      <c r="B355" t="s">
        <v>26</v>
      </c>
      <c r="C355" s="5" t="str">
        <f>" кв. "&amp;B355</f>
        <v xml:space="preserve"> кв. 22</v>
      </c>
      <c r="D355" s="5" t="str">
        <f>CONCATENATE(A355,C355)</f>
        <v>Беломорская ул., дом 5 к.1 кв. 22</v>
      </c>
      <c r="E355" s="3">
        <f>HYPERLINK("https://sao.dolgi.msk.ru/account/1404102534/", 1404102534)</f>
        <v>1404102534</v>
      </c>
      <c r="F355">
        <v>78001.55</v>
      </c>
    </row>
    <row r="356" spans="1:6" hidden="1" x14ac:dyDescent="0.25">
      <c r="A356" t="s">
        <v>237</v>
      </c>
      <c r="B356" t="s">
        <v>27</v>
      </c>
      <c r="E356" s="3">
        <f>HYPERLINK("https://sao.dolgi.msk.ru/account/1404103625/", 1404103625)</f>
        <v>1404103625</v>
      </c>
      <c r="F356">
        <v>-7167.28</v>
      </c>
    </row>
    <row r="357" spans="1:6" hidden="1" x14ac:dyDescent="0.25">
      <c r="A357" t="s">
        <v>237</v>
      </c>
      <c r="B357" t="s">
        <v>28</v>
      </c>
      <c r="E357" s="3">
        <f>HYPERLINK("https://sao.dolgi.msk.ru/account/1404102542/", 1404102542)</f>
        <v>1404102542</v>
      </c>
      <c r="F357">
        <v>-3417.23</v>
      </c>
    </row>
    <row r="358" spans="1:6" hidden="1" x14ac:dyDescent="0.25">
      <c r="A358" t="s">
        <v>237</v>
      </c>
      <c r="B358" t="s">
        <v>29</v>
      </c>
      <c r="E358" s="3">
        <f>HYPERLINK("https://sao.dolgi.msk.ru/account/1404101144/", 1404101144)</f>
        <v>1404101144</v>
      </c>
      <c r="F358">
        <v>0</v>
      </c>
    </row>
    <row r="359" spans="1:6" hidden="1" x14ac:dyDescent="0.25">
      <c r="A359" t="s">
        <v>237</v>
      </c>
      <c r="B359" t="s">
        <v>30</v>
      </c>
      <c r="E359" s="3">
        <f>HYPERLINK("https://sao.dolgi.msk.ru/account/1404101603/", 1404101603)</f>
        <v>1404101603</v>
      </c>
      <c r="F359">
        <v>0</v>
      </c>
    </row>
    <row r="360" spans="1:6" hidden="1" x14ac:dyDescent="0.25">
      <c r="A360" t="s">
        <v>237</v>
      </c>
      <c r="B360" t="s">
        <v>31</v>
      </c>
      <c r="E360" s="3">
        <f>HYPERLINK("https://sao.dolgi.msk.ru/account/1404154983/", 1404154983)</f>
        <v>1404154983</v>
      </c>
      <c r="F360">
        <v>-0.4</v>
      </c>
    </row>
    <row r="361" spans="1:6" hidden="1" x14ac:dyDescent="0.25">
      <c r="A361" t="s">
        <v>237</v>
      </c>
      <c r="B361" t="s">
        <v>32</v>
      </c>
      <c r="E361" s="3">
        <f>HYPERLINK("https://sao.dolgi.msk.ru/account/1404101902/", 1404101902)</f>
        <v>1404101902</v>
      </c>
      <c r="F361">
        <v>-1564.81</v>
      </c>
    </row>
    <row r="362" spans="1:6" x14ac:dyDescent="0.25">
      <c r="A362" t="s">
        <v>237</v>
      </c>
      <c r="B362" t="s">
        <v>33</v>
      </c>
      <c r="C362" s="5" t="str">
        <f>" кв. "&amp;B362</f>
        <v xml:space="preserve"> кв. 29</v>
      </c>
      <c r="D362" s="5" t="str">
        <f>CONCATENATE(A362,C362)</f>
        <v>Беломорская ул., дом 5 к.1 кв. 29</v>
      </c>
      <c r="E362" s="3">
        <f>HYPERLINK("https://sao.dolgi.msk.ru/account/1404101152/", 1404101152)</f>
        <v>1404101152</v>
      </c>
      <c r="F362">
        <v>15090.7</v>
      </c>
    </row>
    <row r="363" spans="1:6" hidden="1" x14ac:dyDescent="0.25">
      <c r="A363" t="s">
        <v>237</v>
      </c>
      <c r="B363" t="s">
        <v>34</v>
      </c>
      <c r="E363" s="3">
        <f>HYPERLINK("https://sao.dolgi.msk.ru/account/1404101611/", 1404101611)</f>
        <v>1404101611</v>
      </c>
      <c r="F363">
        <v>-2122.5</v>
      </c>
    </row>
    <row r="364" spans="1:6" hidden="1" x14ac:dyDescent="0.25">
      <c r="A364" t="s">
        <v>237</v>
      </c>
      <c r="B364" t="s">
        <v>35</v>
      </c>
      <c r="E364" s="3">
        <f>HYPERLINK("https://sao.dolgi.msk.ru/account/1404103262/", 1404103262)</f>
        <v>1404103262</v>
      </c>
      <c r="F364">
        <v>0</v>
      </c>
    </row>
    <row r="365" spans="1:6" x14ac:dyDescent="0.25">
      <c r="A365" t="s">
        <v>237</v>
      </c>
      <c r="B365" t="s">
        <v>36</v>
      </c>
      <c r="C365" s="5" t="str">
        <f>" кв. "&amp;B365</f>
        <v xml:space="preserve"> кв. 32</v>
      </c>
      <c r="D365" s="5" t="str">
        <f>CONCATENATE(A365,C365)</f>
        <v>Беломорская ул., дом 5 к.1 кв. 32</v>
      </c>
      <c r="E365" s="3">
        <f>HYPERLINK("https://sao.dolgi.msk.ru/account/1404101179/", 1404101179)</f>
        <v>1404101179</v>
      </c>
      <c r="F365">
        <v>179.07</v>
      </c>
    </row>
    <row r="366" spans="1:6" hidden="1" x14ac:dyDescent="0.25">
      <c r="A366" t="s">
        <v>237</v>
      </c>
      <c r="B366" t="s">
        <v>37</v>
      </c>
      <c r="E366" s="3">
        <f>HYPERLINK("https://sao.dolgi.msk.ru/account/1404103289/", 1404103289)</f>
        <v>1404103289</v>
      </c>
      <c r="F366">
        <v>-451.23</v>
      </c>
    </row>
    <row r="367" spans="1:6" x14ac:dyDescent="0.25">
      <c r="A367" t="s">
        <v>237</v>
      </c>
      <c r="B367" t="s">
        <v>38</v>
      </c>
      <c r="C367" s="5" t="str">
        <f>" кв. "&amp;B367</f>
        <v xml:space="preserve"> кв. 34</v>
      </c>
      <c r="D367" s="5" t="str">
        <f>CONCATENATE(A367,C367)</f>
        <v>Беломорская ул., дом 5 к.1 кв. 34</v>
      </c>
      <c r="E367" s="3">
        <f>HYPERLINK("https://sao.dolgi.msk.ru/account/1404101187/", 1404101187)</f>
        <v>1404101187</v>
      </c>
      <c r="F367">
        <v>380.71</v>
      </c>
    </row>
    <row r="368" spans="1:6" hidden="1" x14ac:dyDescent="0.25">
      <c r="A368" t="s">
        <v>237</v>
      </c>
      <c r="B368" t="s">
        <v>39</v>
      </c>
      <c r="E368" s="3">
        <f>HYPERLINK("https://sao.dolgi.msk.ru/account/1404101195/", 1404101195)</f>
        <v>1404101195</v>
      </c>
      <c r="F368">
        <v>-2610.96</v>
      </c>
    </row>
    <row r="369" spans="1:6" hidden="1" x14ac:dyDescent="0.25">
      <c r="A369" t="s">
        <v>237</v>
      </c>
      <c r="B369" t="s">
        <v>40</v>
      </c>
      <c r="E369" s="3">
        <f>HYPERLINK("https://sao.dolgi.msk.ru/account/1404102569/", 1404102569)</f>
        <v>1404102569</v>
      </c>
      <c r="F369">
        <v>-4564.49</v>
      </c>
    </row>
    <row r="370" spans="1:6" hidden="1" x14ac:dyDescent="0.25">
      <c r="A370" t="s">
        <v>237</v>
      </c>
      <c r="B370" t="s">
        <v>41</v>
      </c>
      <c r="E370" s="3">
        <f>HYPERLINK("https://sao.dolgi.msk.ru/account/1404101208/", 1404101208)</f>
        <v>1404101208</v>
      </c>
      <c r="F370">
        <v>-7416.83</v>
      </c>
    </row>
    <row r="371" spans="1:6" hidden="1" x14ac:dyDescent="0.25">
      <c r="A371" t="s">
        <v>237</v>
      </c>
      <c r="B371" t="s">
        <v>42</v>
      </c>
      <c r="E371" s="3">
        <f>HYPERLINK("https://sao.dolgi.msk.ru/account/1404102577/", 1404102577)</f>
        <v>1404102577</v>
      </c>
      <c r="F371">
        <v>-1586.83</v>
      </c>
    </row>
    <row r="372" spans="1:6" hidden="1" x14ac:dyDescent="0.25">
      <c r="A372" t="s">
        <v>237</v>
      </c>
      <c r="B372" t="s">
        <v>43</v>
      </c>
      <c r="E372" s="3">
        <f>HYPERLINK("https://sao.dolgi.msk.ru/account/1404102948/", 1404102948)</f>
        <v>1404102948</v>
      </c>
      <c r="F372">
        <v>-4583.21</v>
      </c>
    </row>
    <row r="373" spans="1:6" hidden="1" x14ac:dyDescent="0.25">
      <c r="A373" t="s">
        <v>237</v>
      </c>
      <c r="B373" t="s">
        <v>44</v>
      </c>
      <c r="E373" s="3">
        <f>HYPERLINK("https://sao.dolgi.msk.ru/account/1404102956/", 1404102956)</f>
        <v>1404102956</v>
      </c>
      <c r="F373">
        <v>0</v>
      </c>
    </row>
    <row r="374" spans="1:6" hidden="1" x14ac:dyDescent="0.25">
      <c r="A374" t="s">
        <v>237</v>
      </c>
      <c r="B374" t="s">
        <v>45</v>
      </c>
      <c r="E374" s="3">
        <f>HYPERLINK("https://sao.dolgi.msk.ru/account/1404103297/", 1404103297)</f>
        <v>1404103297</v>
      </c>
      <c r="F374">
        <v>0</v>
      </c>
    </row>
    <row r="375" spans="1:6" hidden="1" x14ac:dyDescent="0.25">
      <c r="A375" t="s">
        <v>237</v>
      </c>
      <c r="B375" t="s">
        <v>46</v>
      </c>
      <c r="E375" s="3">
        <f>HYPERLINK("https://sao.dolgi.msk.ru/account/1404102294/", 1404102294)</f>
        <v>1404102294</v>
      </c>
      <c r="F375">
        <v>-7665.21</v>
      </c>
    </row>
    <row r="376" spans="1:6" hidden="1" x14ac:dyDescent="0.25">
      <c r="A376" t="s">
        <v>237</v>
      </c>
      <c r="B376" t="s">
        <v>47</v>
      </c>
      <c r="E376" s="3">
        <f>HYPERLINK("https://sao.dolgi.msk.ru/account/1404102964/", 1404102964)</f>
        <v>1404102964</v>
      </c>
      <c r="F376">
        <v>-15896.84</v>
      </c>
    </row>
    <row r="377" spans="1:6" hidden="1" x14ac:dyDescent="0.25">
      <c r="A377" t="s">
        <v>237</v>
      </c>
      <c r="B377" t="s">
        <v>48</v>
      </c>
      <c r="E377" s="3">
        <f>HYPERLINK("https://sao.dolgi.msk.ru/account/1404102585/", 1404102585)</f>
        <v>1404102585</v>
      </c>
      <c r="F377">
        <v>-2595.91</v>
      </c>
    </row>
    <row r="378" spans="1:6" hidden="1" x14ac:dyDescent="0.25">
      <c r="A378" t="s">
        <v>237</v>
      </c>
      <c r="B378" t="s">
        <v>49</v>
      </c>
      <c r="E378" s="3">
        <f>HYPERLINK("https://sao.dolgi.msk.ru/account/1404101216/", 1404101216)</f>
        <v>1404101216</v>
      </c>
      <c r="F378">
        <v>-323.88</v>
      </c>
    </row>
    <row r="379" spans="1:6" hidden="1" x14ac:dyDescent="0.25">
      <c r="A379" t="s">
        <v>237</v>
      </c>
      <c r="B379" t="s">
        <v>50</v>
      </c>
      <c r="E379" s="3">
        <f>HYPERLINK("https://sao.dolgi.msk.ru/account/1404102593/", 1404102593)</f>
        <v>1404102593</v>
      </c>
      <c r="F379">
        <v>0</v>
      </c>
    </row>
    <row r="380" spans="1:6" hidden="1" x14ac:dyDescent="0.25">
      <c r="A380" t="s">
        <v>237</v>
      </c>
      <c r="B380" t="s">
        <v>51</v>
      </c>
      <c r="E380" s="3">
        <f>HYPERLINK("https://sao.dolgi.msk.ru/account/1404102606/", 1404102606)</f>
        <v>1404102606</v>
      </c>
      <c r="F380">
        <v>0</v>
      </c>
    </row>
    <row r="381" spans="1:6" x14ac:dyDescent="0.25">
      <c r="A381" t="s">
        <v>237</v>
      </c>
      <c r="B381" t="s">
        <v>52</v>
      </c>
      <c r="C381" s="5" t="str">
        <f>" кв. "&amp;B381</f>
        <v xml:space="preserve"> кв. 48</v>
      </c>
      <c r="D381" s="5" t="str">
        <f>CONCATENATE(A381,C381)</f>
        <v>Беломорская ул., дом 5 к.1 кв. 48</v>
      </c>
      <c r="E381" s="3">
        <f>HYPERLINK("https://sao.dolgi.msk.ru/account/1404103641/", 1404103641)</f>
        <v>1404103641</v>
      </c>
      <c r="F381">
        <v>26972.95</v>
      </c>
    </row>
    <row r="382" spans="1:6" hidden="1" x14ac:dyDescent="0.25">
      <c r="A382" t="s">
        <v>237</v>
      </c>
      <c r="B382" t="s">
        <v>53</v>
      </c>
      <c r="E382" s="3">
        <f>HYPERLINK("https://sao.dolgi.msk.ru/account/1404101929/", 1404101929)</f>
        <v>1404101929</v>
      </c>
      <c r="F382">
        <v>-4643.47</v>
      </c>
    </row>
    <row r="383" spans="1:6" hidden="1" x14ac:dyDescent="0.25">
      <c r="A383" t="s">
        <v>237</v>
      </c>
      <c r="B383" t="s">
        <v>54</v>
      </c>
      <c r="E383" s="3">
        <f>HYPERLINK("https://sao.dolgi.msk.ru/account/1404101937/", 1404101937)</f>
        <v>1404101937</v>
      </c>
      <c r="F383">
        <v>0</v>
      </c>
    </row>
    <row r="384" spans="1:6" hidden="1" x14ac:dyDescent="0.25">
      <c r="A384" t="s">
        <v>237</v>
      </c>
      <c r="B384" t="s">
        <v>55</v>
      </c>
      <c r="E384" s="3">
        <f>HYPERLINK("https://sao.dolgi.msk.ru/account/1404103668/", 1404103668)</f>
        <v>1404103668</v>
      </c>
      <c r="F384">
        <v>-4915.59</v>
      </c>
    </row>
    <row r="385" spans="1:6" hidden="1" x14ac:dyDescent="0.25">
      <c r="A385" t="s">
        <v>237</v>
      </c>
      <c r="B385" t="s">
        <v>56</v>
      </c>
      <c r="E385" s="3">
        <f>HYPERLINK("https://sao.dolgi.msk.ru/account/1404102972/", 1404102972)</f>
        <v>1404102972</v>
      </c>
      <c r="F385">
        <v>-3037.81</v>
      </c>
    </row>
    <row r="386" spans="1:6" hidden="1" x14ac:dyDescent="0.25">
      <c r="A386" t="s">
        <v>237</v>
      </c>
      <c r="B386" t="s">
        <v>57</v>
      </c>
      <c r="E386" s="3">
        <f>HYPERLINK("https://sao.dolgi.msk.ru/account/1404102999/", 1404102999)</f>
        <v>1404102999</v>
      </c>
      <c r="F386">
        <v>-2672.22</v>
      </c>
    </row>
    <row r="387" spans="1:6" x14ac:dyDescent="0.25">
      <c r="A387" t="s">
        <v>237</v>
      </c>
      <c r="B387" t="s">
        <v>58</v>
      </c>
      <c r="C387" s="5" t="str">
        <f>" кв. "&amp;B387</f>
        <v xml:space="preserve"> кв. 54</v>
      </c>
      <c r="D387" s="5" t="str">
        <f>CONCATENATE(A387,C387)</f>
        <v>Беломорская ул., дом 5 к.1 кв. 54</v>
      </c>
      <c r="E387" s="3">
        <f>HYPERLINK("https://sao.dolgi.msk.ru/account/1404103318/", 1404103318)</f>
        <v>1404103318</v>
      </c>
      <c r="F387">
        <v>9556.3799999999992</v>
      </c>
    </row>
    <row r="388" spans="1:6" hidden="1" x14ac:dyDescent="0.25">
      <c r="A388" t="s">
        <v>237</v>
      </c>
      <c r="B388" t="s">
        <v>59</v>
      </c>
      <c r="E388" s="3">
        <f>HYPERLINK("https://sao.dolgi.msk.ru/account/1404101224/", 1404101224)</f>
        <v>1404101224</v>
      </c>
      <c r="F388">
        <v>0</v>
      </c>
    </row>
    <row r="389" spans="1:6" x14ac:dyDescent="0.25">
      <c r="A389" t="s">
        <v>237</v>
      </c>
      <c r="B389" t="s">
        <v>60</v>
      </c>
      <c r="C389" s="5" t="str">
        <f>" кв. "&amp;B389</f>
        <v xml:space="preserve"> кв. 56</v>
      </c>
      <c r="D389" s="5" t="str">
        <f>CONCATENATE(A389,C389)</f>
        <v>Беломорская ул., дом 5 к.1 кв. 56</v>
      </c>
      <c r="E389" s="3">
        <f>HYPERLINK("https://sao.dolgi.msk.ru/account/1404103019/", 1404103019)</f>
        <v>1404103019</v>
      </c>
      <c r="F389">
        <v>6150.32</v>
      </c>
    </row>
    <row r="390" spans="1:6" hidden="1" x14ac:dyDescent="0.25">
      <c r="A390" t="s">
        <v>237</v>
      </c>
      <c r="B390" t="s">
        <v>61</v>
      </c>
      <c r="E390" s="3">
        <f>HYPERLINK("https://sao.dolgi.msk.ru/account/1404101646/", 1404101646)</f>
        <v>1404101646</v>
      </c>
      <c r="F390">
        <v>-6979.09</v>
      </c>
    </row>
    <row r="391" spans="1:6" hidden="1" x14ac:dyDescent="0.25">
      <c r="A391" t="s">
        <v>237</v>
      </c>
      <c r="B391" t="s">
        <v>62</v>
      </c>
      <c r="E391" s="3">
        <f>HYPERLINK("https://sao.dolgi.msk.ru/account/1404101654/", 1404101654)</f>
        <v>1404101654</v>
      </c>
      <c r="F391">
        <v>-5557.08</v>
      </c>
    </row>
    <row r="392" spans="1:6" hidden="1" x14ac:dyDescent="0.25">
      <c r="A392" t="s">
        <v>237</v>
      </c>
      <c r="B392" t="s">
        <v>63</v>
      </c>
      <c r="E392" s="3">
        <f>HYPERLINK("https://sao.dolgi.msk.ru/account/1404101945/", 1404101945)</f>
        <v>1404101945</v>
      </c>
      <c r="F392">
        <v>-3671.88</v>
      </c>
    </row>
    <row r="393" spans="1:6" hidden="1" x14ac:dyDescent="0.25">
      <c r="A393" t="s">
        <v>237</v>
      </c>
      <c r="B393" t="s">
        <v>64</v>
      </c>
      <c r="E393" s="3">
        <f>HYPERLINK("https://sao.dolgi.msk.ru/account/1404101662/", 1404101662)</f>
        <v>1404101662</v>
      </c>
      <c r="F393">
        <v>-2039.81</v>
      </c>
    </row>
    <row r="394" spans="1:6" x14ac:dyDescent="0.25">
      <c r="A394" t="s">
        <v>237</v>
      </c>
      <c r="B394" t="s">
        <v>65</v>
      </c>
      <c r="C394" s="5" t="str">
        <f>" кв. "&amp;B394</f>
        <v xml:space="preserve"> кв. 61</v>
      </c>
      <c r="D394" s="5" t="str">
        <f>CONCATENATE(A394,C394)</f>
        <v>Беломорская ул., дом 5 к.1 кв. 61</v>
      </c>
      <c r="E394" s="3">
        <f>HYPERLINK("https://sao.dolgi.msk.ru/account/1404103326/", 1404103326)</f>
        <v>1404103326</v>
      </c>
      <c r="F394">
        <v>119370.79</v>
      </c>
    </row>
    <row r="395" spans="1:6" hidden="1" x14ac:dyDescent="0.25">
      <c r="A395" t="s">
        <v>237</v>
      </c>
      <c r="B395" t="s">
        <v>66</v>
      </c>
      <c r="E395" s="3">
        <f>HYPERLINK("https://sao.dolgi.msk.ru/account/1404101232/", 1404101232)</f>
        <v>1404101232</v>
      </c>
      <c r="F395">
        <v>-4547.1899999999996</v>
      </c>
    </row>
    <row r="396" spans="1:6" hidden="1" x14ac:dyDescent="0.25">
      <c r="A396" t="s">
        <v>237</v>
      </c>
      <c r="B396" t="s">
        <v>67</v>
      </c>
      <c r="E396" s="3">
        <f>HYPERLINK("https://sao.dolgi.msk.ru/account/1404101259/", 1404101259)</f>
        <v>1404101259</v>
      </c>
      <c r="F396">
        <v>-1260.24</v>
      </c>
    </row>
    <row r="397" spans="1:6" hidden="1" x14ac:dyDescent="0.25">
      <c r="A397" t="s">
        <v>237</v>
      </c>
      <c r="B397" t="s">
        <v>68</v>
      </c>
      <c r="E397" s="3">
        <f>HYPERLINK("https://sao.dolgi.msk.ru/account/1404103027/", 1404103027)</f>
        <v>1404103027</v>
      </c>
      <c r="F397">
        <v>-1844.13</v>
      </c>
    </row>
    <row r="398" spans="1:6" hidden="1" x14ac:dyDescent="0.25">
      <c r="A398" t="s">
        <v>237</v>
      </c>
      <c r="B398" t="s">
        <v>69</v>
      </c>
      <c r="E398" s="3">
        <f>HYPERLINK("https://sao.dolgi.msk.ru/account/1404101689/", 1404101689)</f>
        <v>1404101689</v>
      </c>
      <c r="F398">
        <v>-2969.94</v>
      </c>
    </row>
    <row r="399" spans="1:6" hidden="1" x14ac:dyDescent="0.25">
      <c r="A399" t="s">
        <v>237</v>
      </c>
      <c r="B399" t="s">
        <v>70</v>
      </c>
      <c r="E399" s="3">
        <f>HYPERLINK("https://sao.dolgi.msk.ru/account/1404101953/", 1404101953)</f>
        <v>1404101953</v>
      </c>
      <c r="F399">
        <v>-6758.47</v>
      </c>
    </row>
    <row r="400" spans="1:6" hidden="1" x14ac:dyDescent="0.25">
      <c r="A400" t="s">
        <v>237</v>
      </c>
      <c r="B400" t="s">
        <v>71</v>
      </c>
      <c r="E400" s="3">
        <f>HYPERLINK("https://sao.dolgi.msk.ru/account/1404101961/", 1404101961)</f>
        <v>1404101961</v>
      </c>
      <c r="F400">
        <v>0</v>
      </c>
    </row>
    <row r="401" spans="1:6" hidden="1" x14ac:dyDescent="0.25">
      <c r="A401" t="s">
        <v>237</v>
      </c>
      <c r="B401" t="s">
        <v>72</v>
      </c>
      <c r="E401" s="3">
        <f>HYPERLINK("https://sao.dolgi.msk.ru/account/1404101988/", 1404101988)</f>
        <v>1404101988</v>
      </c>
      <c r="F401">
        <v>-7053.2</v>
      </c>
    </row>
    <row r="402" spans="1:6" hidden="1" x14ac:dyDescent="0.25">
      <c r="A402" t="s">
        <v>237</v>
      </c>
      <c r="B402" t="s">
        <v>73</v>
      </c>
      <c r="E402" s="3">
        <f>HYPERLINK("https://sao.dolgi.msk.ru/account/1404101697/", 1404101697)</f>
        <v>1404101697</v>
      </c>
      <c r="F402">
        <v>-1266.8900000000001</v>
      </c>
    </row>
    <row r="403" spans="1:6" hidden="1" x14ac:dyDescent="0.25">
      <c r="A403" t="s">
        <v>237</v>
      </c>
      <c r="B403" t="s">
        <v>73</v>
      </c>
      <c r="E403" s="3">
        <f>HYPERLINK("https://sao.dolgi.msk.ru/account/1404101769/", 1404101769)</f>
        <v>1404101769</v>
      </c>
      <c r="F403">
        <v>-3107.26</v>
      </c>
    </row>
    <row r="404" spans="1:6" hidden="1" x14ac:dyDescent="0.25">
      <c r="A404" t="s">
        <v>237</v>
      </c>
      <c r="B404" t="s">
        <v>74</v>
      </c>
      <c r="E404" s="3">
        <f>HYPERLINK("https://sao.dolgi.msk.ru/account/1404102323/", 1404102323)</f>
        <v>1404102323</v>
      </c>
      <c r="F404">
        <v>-1580.84</v>
      </c>
    </row>
    <row r="405" spans="1:6" hidden="1" x14ac:dyDescent="0.25">
      <c r="A405" t="s">
        <v>237</v>
      </c>
      <c r="B405" t="s">
        <v>75</v>
      </c>
      <c r="E405" s="3">
        <f>HYPERLINK("https://sao.dolgi.msk.ru/account/1404103334/", 1404103334)</f>
        <v>1404103334</v>
      </c>
      <c r="F405">
        <v>-3558.77</v>
      </c>
    </row>
    <row r="406" spans="1:6" hidden="1" x14ac:dyDescent="0.25">
      <c r="A406" t="s">
        <v>237</v>
      </c>
      <c r="B406" t="s">
        <v>76</v>
      </c>
      <c r="E406" s="3">
        <f>HYPERLINK("https://sao.dolgi.msk.ru/account/1404101718/", 1404101718)</f>
        <v>1404101718</v>
      </c>
      <c r="F406">
        <v>-2284.42</v>
      </c>
    </row>
    <row r="407" spans="1:6" hidden="1" x14ac:dyDescent="0.25">
      <c r="A407" t="s">
        <v>237</v>
      </c>
      <c r="B407" t="s">
        <v>77</v>
      </c>
      <c r="E407" s="3">
        <f>HYPERLINK("https://sao.dolgi.msk.ru/account/1404101996/", 1404101996)</f>
        <v>1404101996</v>
      </c>
      <c r="F407">
        <v>-3113.52</v>
      </c>
    </row>
    <row r="408" spans="1:6" hidden="1" x14ac:dyDescent="0.25">
      <c r="A408" t="s">
        <v>237</v>
      </c>
      <c r="B408" t="s">
        <v>78</v>
      </c>
      <c r="E408" s="3">
        <f>HYPERLINK("https://sao.dolgi.msk.ru/account/1404103676/", 1404103676)</f>
        <v>1404103676</v>
      </c>
      <c r="F408">
        <v>-3442.4</v>
      </c>
    </row>
    <row r="409" spans="1:6" hidden="1" x14ac:dyDescent="0.25">
      <c r="A409" t="s">
        <v>237</v>
      </c>
      <c r="B409" t="s">
        <v>79</v>
      </c>
      <c r="E409" s="3">
        <f>HYPERLINK("https://sao.dolgi.msk.ru/account/1404101267/", 1404101267)</f>
        <v>1404101267</v>
      </c>
      <c r="F409">
        <v>-4234.9399999999996</v>
      </c>
    </row>
    <row r="410" spans="1:6" hidden="1" x14ac:dyDescent="0.25">
      <c r="A410" t="s">
        <v>237</v>
      </c>
      <c r="B410" t="s">
        <v>80</v>
      </c>
      <c r="E410" s="3">
        <f>HYPERLINK("https://sao.dolgi.msk.ru/account/1404101275/", 1404101275)</f>
        <v>1404101275</v>
      </c>
      <c r="F410">
        <v>-4522.99</v>
      </c>
    </row>
    <row r="411" spans="1:6" hidden="1" x14ac:dyDescent="0.25">
      <c r="A411" t="s">
        <v>237</v>
      </c>
      <c r="B411" t="s">
        <v>81</v>
      </c>
      <c r="E411" s="3">
        <f>HYPERLINK("https://sao.dolgi.msk.ru/account/1404103342/", 1404103342)</f>
        <v>1404103342</v>
      </c>
      <c r="F411">
        <v>-2089.34</v>
      </c>
    </row>
    <row r="412" spans="1:6" hidden="1" x14ac:dyDescent="0.25">
      <c r="A412" t="s">
        <v>237</v>
      </c>
      <c r="B412" t="s">
        <v>81</v>
      </c>
      <c r="E412" s="3">
        <f>HYPERLINK("https://sao.dolgi.msk.ru/account/1404103377/", 1404103377)</f>
        <v>1404103377</v>
      </c>
      <c r="F412">
        <v>-1824.65</v>
      </c>
    </row>
    <row r="413" spans="1:6" hidden="1" x14ac:dyDescent="0.25">
      <c r="A413" t="s">
        <v>237</v>
      </c>
      <c r="B413" t="s">
        <v>82</v>
      </c>
      <c r="E413" s="3">
        <f>HYPERLINK("https://sao.dolgi.msk.ru/account/1404102614/", 1404102614)</f>
        <v>1404102614</v>
      </c>
      <c r="F413">
        <v>-2920.25</v>
      </c>
    </row>
    <row r="414" spans="1:6" x14ac:dyDescent="0.25">
      <c r="A414" t="s">
        <v>237</v>
      </c>
      <c r="B414" t="s">
        <v>83</v>
      </c>
      <c r="C414" s="5" t="str">
        <f>" кв. "&amp;B414</f>
        <v xml:space="preserve"> кв. 79</v>
      </c>
      <c r="D414" s="5" t="str">
        <f>CONCATENATE(A414,C414)</f>
        <v>Беломорская ул., дом 5 к.1 кв. 79</v>
      </c>
      <c r="E414" s="3">
        <f>HYPERLINK("https://sao.dolgi.msk.ru/account/1404103684/", 1404103684)</f>
        <v>1404103684</v>
      </c>
      <c r="F414">
        <v>5642.22</v>
      </c>
    </row>
    <row r="415" spans="1:6" hidden="1" x14ac:dyDescent="0.25">
      <c r="A415" t="s">
        <v>237</v>
      </c>
      <c r="B415" t="s">
        <v>84</v>
      </c>
      <c r="E415" s="3">
        <f>HYPERLINK("https://sao.dolgi.msk.ru/account/1404101283/", 1404101283)</f>
        <v>1404101283</v>
      </c>
      <c r="F415">
        <v>-2750.58</v>
      </c>
    </row>
    <row r="416" spans="1:6" hidden="1" x14ac:dyDescent="0.25">
      <c r="A416" t="s">
        <v>237</v>
      </c>
      <c r="B416" t="s">
        <v>85</v>
      </c>
      <c r="E416" s="3">
        <f>HYPERLINK("https://sao.dolgi.msk.ru/account/1404102008/", 1404102008)</f>
        <v>1404102008</v>
      </c>
      <c r="F416">
        <v>-1140.8900000000001</v>
      </c>
    </row>
    <row r="417" spans="1:6" hidden="1" x14ac:dyDescent="0.25">
      <c r="A417" t="s">
        <v>237</v>
      </c>
      <c r="B417" t="s">
        <v>86</v>
      </c>
      <c r="E417" s="3">
        <f>HYPERLINK("https://sao.dolgi.msk.ru/account/1404101726/", 1404101726)</f>
        <v>1404101726</v>
      </c>
      <c r="F417">
        <v>-1905.26</v>
      </c>
    </row>
    <row r="418" spans="1:6" hidden="1" x14ac:dyDescent="0.25">
      <c r="A418" t="s">
        <v>237</v>
      </c>
      <c r="B418" t="s">
        <v>87</v>
      </c>
      <c r="E418" s="3">
        <f>HYPERLINK("https://sao.dolgi.msk.ru/account/1404103035/", 1404103035)</f>
        <v>1404103035</v>
      </c>
      <c r="F418">
        <v>-4001.13</v>
      </c>
    </row>
    <row r="419" spans="1:6" hidden="1" x14ac:dyDescent="0.25">
      <c r="A419" t="s">
        <v>237</v>
      </c>
      <c r="B419" t="s">
        <v>88</v>
      </c>
      <c r="E419" s="3">
        <f>HYPERLINK("https://sao.dolgi.msk.ru/account/1404102016/", 1404102016)</f>
        <v>1404102016</v>
      </c>
      <c r="F419">
        <v>-4745.34</v>
      </c>
    </row>
    <row r="420" spans="1:6" hidden="1" x14ac:dyDescent="0.25">
      <c r="A420" t="s">
        <v>237</v>
      </c>
      <c r="B420" t="s">
        <v>89</v>
      </c>
      <c r="E420" s="3">
        <f>HYPERLINK("https://sao.dolgi.msk.ru/account/1404102331/", 1404102331)</f>
        <v>1404102331</v>
      </c>
      <c r="F420">
        <v>-3484.85</v>
      </c>
    </row>
    <row r="421" spans="1:6" hidden="1" x14ac:dyDescent="0.25">
      <c r="A421" t="s">
        <v>237</v>
      </c>
      <c r="B421" t="s">
        <v>90</v>
      </c>
      <c r="E421" s="3">
        <f>HYPERLINK("https://sao.dolgi.msk.ru/account/1404102649/", 1404102649)</f>
        <v>1404102649</v>
      </c>
      <c r="F421">
        <v>0</v>
      </c>
    </row>
    <row r="422" spans="1:6" hidden="1" x14ac:dyDescent="0.25">
      <c r="A422" t="s">
        <v>237</v>
      </c>
      <c r="B422" t="s">
        <v>91</v>
      </c>
      <c r="E422" s="3">
        <f>HYPERLINK("https://sao.dolgi.msk.ru/account/1404103369/", 1404103369)</f>
        <v>1404103369</v>
      </c>
      <c r="F422">
        <v>0</v>
      </c>
    </row>
    <row r="423" spans="1:6" hidden="1" x14ac:dyDescent="0.25">
      <c r="A423" t="s">
        <v>237</v>
      </c>
      <c r="B423" t="s">
        <v>92</v>
      </c>
      <c r="E423" s="3">
        <f>HYPERLINK("https://sao.dolgi.msk.ru/account/1404102657/", 1404102657)</f>
        <v>1404102657</v>
      </c>
      <c r="F423">
        <v>-3082.14</v>
      </c>
    </row>
    <row r="424" spans="1:6" hidden="1" x14ac:dyDescent="0.25">
      <c r="A424" t="s">
        <v>237</v>
      </c>
      <c r="B424" t="s">
        <v>93</v>
      </c>
      <c r="E424" s="3">
        <f>HYPERLINK("https://sao.dolgi.msk.ru/account/1404102024/", 1404102024)</f>
        <v>1404102024</v>
      </c>
      <c r="F424">
        <v>-1720.88</v>
      </c>
    </row>
    <row r="425" spans="1:6" hidden="1" x14ac:dyDescent="0.25">
      <c r="A425" t="s">
        <v>237</v>
      </c>
      <c r="B425" t="s">
        <v>94</v>
      </c>
      <c r="E425" s="3">
        <f>HYPERLINK("https://sao.dolgi.msk.ru/account/1404101291/", 1404101291)</f>
        <v>1404101291</v>
      </c>
      <c r="F425">
        <v>-2826.76</v>
      </c>
    </row>
    <row r="426" spans="1:6" x14ac:dyDescent="0.25">
      <c r="A426" t="s">
        <v>237</v>
      </c>
      <c r="B426" t="s">
        <v>95</v>
      </c>
      <c r="C426" s="5" t="str">
        <f>" кв. "&amp;B426</f>
        <v xml:space="preserve"> кв. 91</v>
      </c>
      <c r="D426" s="5" t="str">
        <f>CONCATENATE(A426,C426)</f>
        <v>Беломорская ул., дом 5 к.1 кв. 91</v>
      </c>
      <c r="E426" s="3">
        <f>HYPERLINK("https://sao.dolgi.msk.ru/account/1404101304/", 1404101304)</f>
        <v>1404101304</v>
      </c>
      <c r="F426">
        <v>45666.48</v>
      </c>
    </row>
    <row r="427" spans="1:6" hidden="1" x14ac:dyDescent="0.25">
      <c r="A427" t="s">
        <v>237</v>
      </c>
      <c r="B427" t="s">
        <v>96</v>
      </c>
      <c r="E427" s="3">
        <f>HYPERLINK("https://sao.dolgi.msk.ru/account/1404102032/", 1404102032)</f>
        <v>1404102032</v>
      </c>
      <c r="F427">
        <v>-2821.43</v>
      </c>
    </row>
    <row r="428" spans="1:6" hidden="1" x14ac:dyDescent="0.25">
      <c r="A428" t="s">
        <v>237</v>
      </c>
      <c r="B428" t="s">
        <v>97</v>
      </c>
      <c r="E428" s="3">
        <f>HYPERLINK("https://sao.dolgi.msk.ru/account/1404103692/", 1404103692)</f>
        <v>1404103692</v>
      </c>
      <c r="F428">
        <v>0</v>
      </c>
    </row>
    <row r="429" spans="1:6" x14ac:dyDescent="0.25">
      <c r="A429" t="s">
        <v>237</v>
      </c>
      <c r="B429" t="s">
        <v>98</v>
      </c>
      <c r="C429" s="5" t="str">
        <f>" кв. "&amp;B429</f>
        <v xml:space="preserve"> кв. 94</v>
      </c>
      <c r="D429" s="5" t="str">
        <f>CONCATENATE(A429,C429)</f>
        <v>Беломорская ул., дом 5 к.1 кв. 94</v>
      </c>
      <c r="E429" s="3">
        <f>HYPERLINK("https://sao.dolgi.msk.ru/account/1404103705/", 1404103705)</f>
        <v>1404103705</v>
      </c>
      <c r="F429">
        <v>26925.55</v>
      </c>
    </row>
    <row r="430" spans="1:6" hidden="1" x14ac:dyDescent="0.25">
      <c r="A430" t="s">
        <v>237</v>
      </c>
      <c r="B430" t="s">
        <v>99</v>
      </c>
      <c r="E430" s="3">
        <f>HYPERLINK("https://sao.dolgi.msk.ru/account/1404101734/", 1404101734)</f>
        <v>1404101734</v>
      </c>
      <c r="F430">
        <v>-7616.56</v>
      </c>
    </row>
    <row r="431" spans="1:6" hidden="1" x14ac:dyDescent="0.25">
      <c r="A431" t="s">
        <v>237</v>
      </c>
      <c r="B431" t="s">
        <v>100</v>
      </c>
      <c r="E431" s="3">
        <f>HYPERLINK("https://sao.dolgi.msk.ru/account/1404101312/", 1404101312)</f>
        <v>1404101312</v>
      </c>
      <c r="F431">
        <v>0</v>
      </c>
    </row>
    <row r="432" spans="1:6" hidden="1" x14ac:dyDescent="0.25">
      <c r="A432" t="s">
        <v>237</v>
      </c>
      <c r="B432" t="s">
        <v>101</v>
      </c>
      <c r="E432" s="3">
        <f>HYPERLINK("https://sao.dolgi.msk.ru/account/1404102358/", 1404102358)</f>
        <v>1404102358</v>
      </c>
      <c r="F432">
        <v>-3105.98</v>
      </c>
    </row>
    <row r="433" spans="1:6" hidden="1" x14ac:dyDescent="0.25">
      <c r="A433" t="s">
        <v>237</v>
      </c>
      <c r="B433" t="s">
        <v>102</v>
      </c>
      <c r="E433" s="3">
        <f>HYPERLINK("https://sao.dolgi.msk.ru/account/1404102366/", 1404102366)</f>
        <v>1404102366</v>
      </c>
      <c r="F433">
        <v>-2021.35</v>
      </c>
    </row>
    <row r="434" spans="1:6" hidden="1" x14ac:dyDescent="0.25">
      <c r="A434" t="s">
        <v>237</v>
      </c>
      <c r="B434" t="s">
        <v>103</v>
      </c>
      <c r="E434" s="3">
        <f>HYPERLINK("https://sao.dolgi.msk.ru/account/1404102665/", 1404102665)</f>
        <v>1404102665</v>
      </c>
      <c r="F434">
        <v>-1934.53</v>
      </c>
    </row>
    <row r="435" spans="1:6" hidden="1" x14ac:dyDescent="0.25">
      <c r="A435" t="s">
        <v>237</v>
      </c>
      <c r="B435" t="s">
        <v>104</v>
      </c>
      <c r="E435" s="3">
        <f>HYPERLINK("https://sao.dolgi.msk.ru/account/1404102673/", 1404102673)</f>
        <v>1404102673</v>
      </c>
      <c r="F435">
        <v>-4716.59</v>
      </c>
    </row>
    <row r="436" spans="1:6" hidden="1" x14ac:dyDescent="0.25">
      <c r="A436" t="s">
        <v>237</v>
      </c>
      <c r="B436" t="s">
        <v>105</v>
      </c>
      <c r="E436" s="3">
        <f>HYPERLINK("https://sao.dolgi.msk.ru/account/1404101355/", 1404101355)</f>
        <v>1404101355</v>
      </c>
      <c r="F436">
        <v>0</v>
      </c>
    </row>
    <row r="437" spans="1:6" hidden="1" x14ac:dyDescent="0.25">
      <c r="A437" t="s">
        <v>237</v>
      </c>
      <c r="B437" t="s">
        <v>106</v>
      </c>
      <c r="E437" s="3">
        <f>HYPERLINK("https://sao.dolgi.msk.ru/account/1404101785/", 1404101785)</f>
        <v>1404101785</v>
      </c>
      <c r="F437">
        <v>-4480.37</v>
      </c>
    </row>
    <row r="438" spans="1:6" hidden="1" x14ac:dyDescent="0.25">
      <c r="A438" t="s">
        <v>237</v>
      </c>
      <c r="B438" t="s">
        <v>107</v>
      </c>
      <c r="E438" s="3">
        <f>HYPERLINK("https://sao.dolgi.msk.ru/account/1404103385/", 1404103385)</f>
        <v>1404103385</v>
      </c>
      <c r="F438">
        <v>-3810.89</v>
      </c>
    </row>
    <row r="439" spans="1:6" hidden="1" x14ac:dyDescent="0.25">
      <c r="A439" t="s">
        <v>237</v>
      </c>
      <c r="B439" t="s">
        <v>108</v>
      </c>
      <c r="E439" s="3">
        <f>HYPERLINK("https://sao.dolgi.msk.ru/account/1404101363/", 1404101363)</f>
        <v>1404101363</v>
      </c>
      <c r="F439">
        <v>-6098.24</v>
      </c>
    </row>
    <row r="440" spans="1:6" x14ac:dyDescent="0.25">
      <c r="A440" t="s">
        <v>237</v>
      </c>
      <c r="B440" t="s">
        <v>109</v>
      </c>
      <c r="C440" s="5" t="str">
        <f>" кв. "&amp;B440</f>
        <v xml:space="preserve"> кв. 105</v>
      </c>
      <c r="D440" s="5" t="str">
        <f>CONCATENATE(A440,C440)</f>
        <v>Беломорская ул., дом 5 к.1 кв. 105</v>
      </c>
      <c r="E440" s="3">
        <f>HYPERLINK("https://sao.dolgi.msk.ru/account/1404102681/", 1404102681)</f>
        <v>1404102681</v>
      </c>
      <c r="F440">
        <v>1334.44</v>
      </c>
    </row>
    <row r="441" spans="1:6" hidden="1" x14ac:dyDescent="0.25">
      <c r="A441" t="s">
        <v>237</v>
      </c>
      <c r="B441" t="s">
        <v>110</v>
      </c>
      <c r="E441" s="3">
        <f>HYPERLINK("https://sao.dolgi.msk.ru/account/1404102059/", 1404102059)</f>
        <v>1404102059</v>
      </c>
      <c r="F441">
        <v>-4629.9399999999996</v>
      </c>
    </row>
    <row r="442" spans="1:6" hidden="1" x14ac:dyDescent="0.25">
      <c r="A442" t="s">
        <v>237</v>
      </c>
      <c r="B442" t="s">
        <v>111</v>
      </c>
      <c r="E442" s="3">
        <f>HYPERLINK("https://sao.dolgi.msk.ru/account/1404103078/", 1404103078)</f>
        <v>1404103078</v>
      </c>
      <c r="F442">
        <v>-2367.2600000000002</v>
      </c>
    </row>
    <row r="443" spans="1:6" hidden="1" x14ac:dyDescent="0.25">
      <c r="A443" t="s">
        <v>237</v>
      </c>
      <c r="B443" t="s">
        <v>112</v>
      </c>
      <c r="E443" s="3">
        <f>HYPERLINK("https://sao.dolgi.msk.ru/account/1404102702/", 1404102702)</f>
        <v>1404102702</v>
      </c>
      <c r="F443">
        <v>-106.11</v>
      </c>
    </row>
    <row r="444" spans="1:6" hidden="1" x14ac:dyDescent="0.25">
      <c r="A444" t="s">
        <v>237</v>
      </c>
      <c r="B444" t="s">
        <v>113</v>
      </c>
      <c r="E444" s="3">
        <f>HYPERLINK("https://sao.dolgi.msk.ru/account/1404102729/", 1404102729)</f>
        <v>1404102729</v>
      </c>
      <c r="F444">
        <v>-3056.95</v>
      </c>
    </row>
    <row r="445" spans="1:6" hidden="1" x14ac:dyDescent="0.25">
      <c r="A445" t="s">
        <v>237</v>
      </c>
      <c r="B445" t="s">
        <v>114</v>
      </c>
      <c r="E445" s="3">
        <f>HYPERLINK("https://sao.dolgi.msk.ru/account/1404103393/", 1404103393)</f>
        <v>1404103393</v>
      </c>
      <c r="F445">
        <v>-4987.9799999999996</v>
      </c>
    </row>
    <row r="446" spans="1:6" hidden="1" x14ac:dyDescent="0.25">
      <c r="A446" t="s">
        <v>237</v>
      </c>
      <c r="B446" t="s">
        <v>115</v>
      </c>
      <c r="E446" s="3">
        <f>HYPERLINK("https://sao.dolgi.msk.ru/account/1404101371/", 1404101371)</f>
        <v>1404101371</v>
      </c>
      <c r="F446">
        <v>-4691.32</v>
      </c>
    </row>
    <row r="447" spans="1:6" hidden="1" x14ac:dyDescent="0.25">
      <c r="A447" t="s">
        <v>237</v>
      </c>
      <c r="B447" t="s">
        <v>116</v>
      </c>
      <c r="E447" s="3">
        <f>HYPERLINK("https://sao.dolgi.msk.ru/account/1404102737/", 1404102737)</f>
        <v>1404102737</v>
      </c>
      <c r="F447">
        <v>-3715.28</v>
      </c>
    </row>
    <row r="448" spans="1:6" hidden="1" x14ac:dyDescent="0.25">
      <c r="A448" t="s">
        <v>237</v>
      </c>
      <c r="B448" t="s">
        <v>117</v>
      </c>
      <c r="E448" s="3">
        <f>HYPERLINK("https://sao.dolgi.msk.ru/account/1404102745/", 1404102745)</f>
        <v>1404102745</v>
      </c>
      <c r="F448">
        <v>-3229.83</v>
      </c>
    </row>
    <row r="449" spans="1:6" hidden="1" x14ac:dyDescent="0.25">
      <c r="A449" t="s">
        <v>237</v>
      </c>
      <c r="B449" t="s">
        <v>118</v>
      </c>
      <c r="E449" s="3">
        <f>HYPERLINK("https://sao.dolgi.msk.ru/account/1404102067/", 1404102067)</f>
        <v>1404102067</v>
      </c>
      <c r="F449">
        <v>-2411.92</v>
      </c>
    </row>
    <row r="450" spans="1:6" hidden="1" x14ac:dyDescent="0.25">
      <c r="A450" t="s">
        <v>237</v>
      </c>
      <c r="B450" t="s">
        <v>119</v>
      </c>
      <c r="E450" s="3">
        <f>HYPERLINK("https://sao.dolgi.msk.ru/account/1404155302/", 1404155302)</f>
        <v>1404155302</v>
      </c>
      <c r="F450">
        <v>0</v>
      </c>
    </row>
    <row r="451" spans="1:6" hidden="1" x14ac:dyDescent="0.25">
      <c r="A451" t="s">
        <v>237</v>
      </c>
      <c r="B451" t="s">
        <v>120</v>
      </c>
      <c r="E451" s="3">
        <f>HYPERLINK("https://sao.dolgi.msk.ru/account/1404102075/", 1404102075)</f>
        <v>1404102075</v>
      </c>
      <c r="F451">
        <v>-6310.74</v>
      </c>
    </row>
    <row r="452" spans="1:6" hidden="1" x14ac:dyDescent="0.25">
      <c r="A452" t="s">
        <v>237</v>
      </c>
      <c r="B452" t="s">
        <v>121</v>
      </c>
      <c r="E452" s="3">
        <f>HYPERLINK("https://sao.dolgi.msk.ru/account/1404101005/", 1404101005)</f>
        <v>1404101005</v>
      </c>
      <c r="F452">
        <v>-2610.96</v>
      </c>
    </row>
    <row r="453" spans="1:6" hidden="1" x14ac:dyDescent="0.25">
      <c r="A453" t="s">
        <v>237</v>
      </c>
      <c r="B453" t="s">
        <v>122</v>
      </c>
      <c r="E453" s="3">
        <f>HYPERLINK("https://sao.dolgi.msk.ru/account/1404101013/", 1404101013)</f>
        <v>1404101013</v>
      </c>
      <c r="F453">
        <v>-3910.41</v>
      </c>
    </row>
    <row r="454" spans="1:6" hidden="1" x14ac:dyDescent="0.25">
      <c r="A454" t="s">
        <v>237</v>
      </c>
      <c r="B454" t="s">
        <v>123</v>
      </c>
      <c r="E454" s="3">
        <f>HYPERLINK("https://sao.dolgi.msk.ru/account/1404103094/", 1404103094)</f>
        <v>1404103094</v>
      </c>
      <c r="F454">
        <v>-5946.78</v>
      </c>
    </row>
    <row r="455" spans="1:6" hidden="1" x14ac:dyDescent="0.25">
      <c r="A455" t="s">
        <v>237</v>
      </c>
      <c r="B455" t="s">
        <v>124</v>
      </c>
      <c r="E455" s="3">
        <f>HYPERLINK("https://sao.dolgi.msk.ru/account/1404101398/", 1404101398)</f>
        <v>1404101398</v>
      </c>
      <c r="F455">
        <v>-2342.33</v>
      </c>
    </row>
    <row r="456" spans="1:6" hidden="1" x14ac:dyDescent="0.25">
      <c r="A456" t="s">
        <v>237</v>
      </c>
      <c r="B456" t="s">
        <v>125</v>
      </c>
      <c r="E456" s="3">
        <f>HYPERLINK("https://sao.dolgi.msk.ru/account/1404101419/", 1404101419)</f>
        <v>1404101419</v>
      </c>
      <c r="F456">
        <v>-3963.15</v>
      </c>
    </row>
    <row r="457" spans="1:6" hidden="1" x14ac:dyDescent="0.25">
      <c r="A457" t="s">
        <v>237</v>
      </c>
      <c r="B457" t="s">
        <v>126</v>
      </c>
      <c r="E457" s="3">
        <f>HYPERLINK("https://sao.dolgi.msk.ru/account/1404101021/", 1404101021)</f>
        <v>1404101021</v>
      </c>
      <c r="F457">
        <v>-4048.28</v>
      </c>
    </row>
    <row r="458" spans="1:6" hidden="1" x14ac:dyDescent="0.25">
      <c r="A458" t="s">
        <v>237</v>
      </c>
      <c r="B458" t="s">
        <v>127</v>
      </c>
      <c r="E458" s="3">
        <f>HYPERLINK("https://sao.dolgi.msk.ru/account/1404102382/", 1404102382)</f>
        <v>1404102382</v>
      </c>
      <c r="F458">
        <v>-2495.5100000000002</v>
      </c>
    </row>
    <row r="459" spans="1:6" hidden="1" x14ac:dyDescent="0.25">
      <c r="A459" t="s">
        <v>237</v>
      </c>
      <c r="B459" t="s">
        <v>128</v>
      </c>
      <c r="E459" s="3">
        <f>HYPERLINK("https://sao.dolgi.msk.ru/account/1404102083/", 1404102083)</f>
        <v>1404102083</v>
      </c>
      <c r="F459">
        <v>-1894.9</v>
      </c>
    </row>
    <row r="460" spans="1:6" hidden="1" x14ac:dyDescent="0.25">
      <c r="A460" t="s">
        <v>237</v>
      </c>
      <c r="B460" t="s">
        <v>129</v>
      </c>
      <c r="E460" s="3">
        <f>HYPERLINK("https://sao.dolgi.msk.ru/account/1404101793/", 1404101793)</f>
        <v>1404101793</v>
      </c>
      <c r="F460">
        <v>-575.54999999999995</v>
      </c>
    </row>
    <row r="461" spans="1:6" hidden="1" x14ac:dyDescent="0.25">
      <c r="A461" t="s">
        <v>237</v>
      </c>
      <c r="B461" t="s">
        <v>130</v>
      </c>
      <c r="E461" s="3">
        <f>HYPERLINK("https://sao.dolgi.msk.ru/account/1404103107/", 1404103107)</f>
        <v>1404103107</v>
      </c>
      <c r="F461">
        <v>0</v>
      </c>
    </row>
    <row r="462" spans="1:6" hidden="1" x14ac:dyDescent="0.25">
      <c r="A462" t="s">
        <v>237</v>
      </c>
      <c r="B462" t="s">
        <v>131</v>
      </c>
      <c r="E462" s="3">
        <f>HYPERLINK("https://sao.dolgi.msk.ru/account/1404103115/", 1404103115)</f>
        <v>1404103115</v>
      </c>
      <c r="F462">
        <v>0</v>
      </c>
    </row>
    <row r="463" spans="1:6" hidden="1" x14ac:dyDescent="0.25">
      <c r="A463" t="s">
        <v>237</v>
      </c>
      <c r="B463" t="s">
        <v>132</v>
      </c>
      <c r="E463" s="3">
        <f>HYPERLINK("https://sao.dolgi.msk.ru/account/1404101427/", 1404101427)</f>
        <v>1404101427</v>
      </c>
      <c r="F463">
        <v>-1595.41</v>
      </c>
    </row>
    <row r="464" spans="1:6" hidden="1" x14ac:dyDescent="0.25">
      <c r="A464" t="s">
        <v>237</v>
      </c>
      <c r="B464" t="s">
        <v>132</v>
      </c>
      <c r="E464" s="3">
        <f>HYPERLINK("https://sao.dolgi.msk.ru/account/1404101777/", 1404101777)</f>
        <v>1404101777</v>
      </c>
      <c r="F464">
        <v>-3760.58</v>
      </c>
    </row>
    <row r="465" spans="1:6" hidden="1" x14ac:dyDescent="0.25">
      <c r="A465" t="s">
        <v>237</v>
      </c>
      <c r="B465" t="s">
        <v>133</v>
      </c>
      <c r="E465" s="3">
        <f>HYPERLINK("https://sao.dolgi.msk.ru/account/1404101048/", 1404101048)</f>
        <v>1404101048</v>
      </c>
      <c r="F465">
        <v>-6449.32</v>
      </c>
    </row>
    <row r="466" spans="1:6" hidden="1" x14ac:dyDescent="0.25">
      <c r="A466" t="s">
        <v>237</v>
      </c>
      <c r="B466" t="s">
        <v>134</v>
      </c>
      <c r="E466" s="3">
        <f>HYPERLINK("https://sao.dolgi.msk.ru/account/1404102753/", 1404102753)</f>
        <v>1404102753</v>
      </c>
      <c r="F466">
        <v>-4390.6899999999996</v>
      </c>
    </row>
    <row r="467" spans="1:6" hidden="1" x14ac:dyDescent="0.25">
      <c r="A467" t="s">
        <v>237</v>
      </c>
      <c r="B467" t="s">
        <v>135</v>
      </c>
      <c r="E467" s="3">
        <f>HYPERLINK("https://sao.dolgi.msk.ru/account/1404103422/", 1404103422)</f>
        <v>1404103422</v>
      </c>
      <c r="F467">
        <v>-4742.42</v>
      </c>
    </row>
    <row r="468" spans="1:6" hidden="1" x14ac:dyDescent="0.25">
      <c r="A468" t="s">
        <v>237</v>
      </c>
      <c r="B468" t="s">
        <v>136</v>
      </c>
      <c r="E468" s="3">
        <f>HYPERLINK("https://sao.dolgi.msk.ru/account/1404101435/", 1404101435)</f>
        <v>1404101435</v>
      </c>
      <c r="F468">
        <v>-3348.59</v>
      </c>
    </row>
    <row r="469" spans="1:6" hidden="1" x14ac:dyDescent="0.25">
      <c r="A469" t="s">
        <v>237</v>
      </c>
      <c r="B469" t="s">
        <v>137</v>
      </c>
      <c r="E469" s="3">
        <f>HYPERLINK("https://sao.dolgi.msk.ru/account/1404101806/", 1404101806)</f>
        <v>1404101806</v>
      </c>
      <c r="F469">
        <v>-2840.1</v>
      </c>
    </row>
    <row r="470" spans="1:6" hidden="1" x14ac:dyDescent="0.25">
      <c r="A470" t="s">
        <v>237</v>
      </c>
      <c r="B470" t="s">
        <v>138</v>
      </c>
      <c r="E470" s="3">
        <f>HYPERLINK("https://sao.dolgi.msk.ru/account/1404101443/", 1404101443)</f>
        <v>1404101443</v>
      </c>
      <c r="F470">
        <v>-3725.74</v>
      </c>
    </row>
    <row r="471" spans="1:6" hidden="1" x14ac:dyDescent="0.25">
      <c r="A471" t="s">
        <v>237</v>
      </c>
      <c r="B471" t="s">
        <v>139</v>
      </c>
      <c r="E471" s="3">
        <f>HYPERLINK("https://sao.dolgi.msk.ru/account/1404102091/", 1404102091)</f>
        <v>1404102091</v>
      </c>
      <c r="F471">
        <v>-6189.12</v>
      </c>
    </row>
    <row r="472" spans="1:6" hidden="1" x14ac:dyDescent="0.25">
      <c r="A472" t="s">
        <v>237</v>
      </c>
      <c r="B472" t="s">
        <v>140</v>
      </c>
      <c r="E472" s="3">
        <f>HYPERLINK("https://sao.dolgi.msk.ru/account/1404102403/", 1404102403)</f>
        <v>1404102403</v>
      </c>
      <c r="F472">
        <v>-1893.07</v>
      </c>
    </row>
    <row r="473" spans="1:6" hidden="1" x14ac:dyDescent="0.25">
      <c r="A473" t="s">
        <v>237</v>
      </c>
      <c r="B473" t="s">
        <v>141</v>
      </c>
      <c r="E473" s="3">
        <f>HYPERLINK("https://sao.dolgi.msk.ru/account/1404102104/", 1404102104)</f>
        <v>1404102104</v>
      </c>
      <c r="F473">
        <v>-5625.41</v>
      </c>
    </row>
    <row r="474" spans="1:6" hidden="1" x14ac:dyDescent="0.25">
      <c r="A474" t="s">
        <v>237</v>
      </c>
      <c r="B474" t="s">
        <v>142</v>
      </c>
      <c r="E474" s="3">
        <f>HYPERLINK("https://sao.dolgi.msk.ru/account/1404102112/", 1404102112)</f>
        <v>1404102112</v>
      </c>
      <c r="F474">
        <v>-6703.57</v>
      </c>
    </row>
    <row r="475" spans="1:6" hidden="1" x14ac:dyDescent="0.25">
      <c r="A475" t="s">
        <v>237</v>
      </c>
      <c r="B475" t="s">
        <v>143</v>
      </c>
      <c r="E475" s="3">
        <f>HYPERLINK("https://sao.dolgi.msk.ru/account/1404102761/", 1404102761)</f>
        <v>1404102761</v>
      </c>
      <c r="F475">
        <v>-4435.59</v>
      </c>
    </row>
    <row r="476" spans="1:6" hidden="1" x14ac:dyDescent="0.25">
      <c r="A476" t="s">
        <v>237</v>
      </c>
      <c r="B476" t="s">
        <v>144</v>
      </c>
      <c r="E476" s="3">
        <f>HYPERLINK("https://sao.dolgi.msk.ru/account/1404102788/", 1404102788)</f>
        <v>1404102788</v>
      </c>
      <c r="F476">
        <v>-3899.8</v>
      </c>
    </row>
    <row r="477" spans="1:6" hidden="1" x14ac:dyDescent="0.25">
      <c r="A477" t="s">
        <v>237</v>
      </c>
      <c r="B477" t="s">
        <v>145</v>
      </c>
      <c r="E477" s="3">
        <f>HYPERLINK("https://sao.dolgi.msk.ru/account/1404101451/", 1404101451)</f>
        <v>1404101451</v>
      </c>
      <c r="F477">
        <v>0</v>
      </c>
    </row>
    <row r="478" spans="1:6" hidden="1" x14ac:dyDescent="0.25">
      <c r="A478" t="s">
        <v>237</v>
      </c>
      <c r="B478" t="s">
        <v>146</v>
      </c>
      <c r="E478" s="3">
        <f>HYPERLINK("https://sao.dolgi.msk.ru/account/1404102796/", 1404102796)</f>
        <v>1404102796</v>
      </c>
      <c r="F478">
        <v>-2092.19</v>
      </c>
    </row>
    <row r="479" spans="1:6" hidden="1" x14ac:dyDescent="0.25">
      <c r="A479" t="s">
        <v>237</v>
      </c>
      <c r="B479" t="s">
        <v>147</v>
      </c>
      <c r="E479" s="3">
        <f>HYPERLINK("https://sao.dolgi.msk.ru/account/1404101072/", 1404101072)</f>
        <v>1404101072</v>
      </c>
      <c r="F479">
        <v>0</v>
      </c>
    </row>
    <row r="480" spans="1:6" hidden="1" x14ac:dyDescent="0.25">
      <c r="A480" t="s">
        <v>237</v>
      </c>
      <c r="B480" t="s">
        <v>148</v>
      </c>
      <c r="E480" s="3">
        <f>HYPERLINK("https://sao.dolgi.msk.ru/account/1404102139/", 1404102139)</f>
        <v>1404102139</v>
      </c>
      <c r="F480">
        <v>-2108.4299999999998</v>
      </c>
    </row>
    <row r="481" spans="1:6" hidden="1" x14ac:dyDescent="0.25">
      <c r="A481" t="s">
        <v>237</v>
      </c>
      <c r="B481" t="s">
        <v>149</v>
      </c>
      <c r="E481" s="3">
        <f>HYPERLINK("https://sao.dolgi.msk.ru/account/1404102147/", 1404102147)</f>
        <v>1404102147</v>
      </c>
      <c r="F481">
        <v>-3130.06</v>
      </c>
    </row>
    <row r="482" spans="1:6" hidden="1" x14ac:dyDescent="0.25">
      <c r="A482" t="s">
        <v>237</v>
      </c>
      <c r="B482" t="s">
        <v>150</v>
      </c>
      <c r="E482" s="3">
        <f>HYPERLINK("https://sao.dolgi.msk.ru/account/1404102809/", 1404102809)</f>
        <v>1404102809</v>
      </c>
      <c r="F482">
        <v>-5167.12</v>
      </c>
    </row>
    <row r="483" spans="1:6" hidden="1" x14ac:dyDescent="0.25">
      <c r="A483" t="s">
        <v>237</v>
      </c>
      <c r="B483" t="s">
        <v>151</v>
      </c>
      <c r="E483" s="3">
        <f>HYPERLINK("https://sao.dolgi.msk.ru/account/1404103123/", 1404103123)</f>
        <v>1404103123</v>
      </c>
      <c r="F483">
        <v>-5693.85</v>
      </c>
    </row>
    <row r="484" spans="1:6" hidden="1" x14ac:dyDescent="0.25">
      <c r="A484" t="s">
        <v>237</v>
      </c>
      <c r="B484" t="s">
        <v>152</v>
      </c>
      <c r="E484" s="3">
        <f>HYPERLINK("https://sao.dolgi.msk.ru/account/1404101478/", 1404101478)</f>
        <v>1404101478</v>
      </c>
      <c r="F484">
        <v>-5388.03</v>
      </c>
    </row>
    <row r="485" spans="1:6" hidden="1" x14ac:dyDescent="0.25">
      <c r="A485" t="s">
        <v>237</v>
      </c>
      <c r="B485" t="s">
        <v>153</v>
      </c>
      <c r="E485" s="3">
        <f>HYPERLINK("https://sao.dolgi.msk.ru/account/1404101814/", 1404101814)</f>
        <v>1404101814</v>
      </c>
      <c r="F485">
        <v>-2892.74</v>
      </c>
    </row>
    <row r="486" spans="1:6" hidden="1" x14ac:dyDescent="0.25">
      <c r="A486" t="s">
        <v>237</v>
      </c>
      <c r="B486" t="s">
        <v>154</v>
      </c>
      <c r="E486" s="3">
        <f>HYPERLINK("https://sao.dolgi.msk.ru/account/1404101494/", 1404101494)</f>
        <v>1404101494</v>
      </c>
      <c r="F486">
        <v>-4137.17</v>
      </c>
    </row>
    <row r="487" spans="1:6" hidden="1" x14ac:dyDescent="0.25">
      <c r="A487" t="s">
        <v>237</v>
      </c>
      <c r="B487" t="s">
        <v>155</v>
      </c>
      <c r="E487" s="3">
        <f>HYPERLINK("https://sao.dolgi.msk.ru/account/1404103449/", 1404103449)</f>
        <v>1404103449</v>
      </c>
      <c r="F487">
        <v>-2453.91</v>
      </c>
    </row>
    <row r="488" spans="1:6" hidden="1" x14ac:dyDescent="0.25">
      <c r="A488" t="s">
        <v>237</v>
      </c>
      <c r="B488" t="s">
        <v>156</v>
      </c>
      <c r="E488" s="3">
        <f>HYPERLINK("https://sao.dolgi.msk.ru/account/1404102411/", 1404102411)</f>
        <v>1404102411</v>
      </c>
      <c r="F488">
        <v>-2605.0700000000002</v>
      </c>
    </row>
    <row r="489" spans="1:6" hidden="1" x14ac:dyDescent="0.25">
      <c r="A489" t="s">
        <v>237</v>
      </c>
      <c r="B489" t="s">
        <v>157</v>
      </c>
      <c r="E489" s="3">
        <f>HYPERLINK("https://sao.dolgi.msk.ru/account/1404103131/", 1404103131)</f>
        <v>1404103131</v>
      </c>
      <c r="F489">
        <v>-1518.75</v>
      </c>
    </row>
    <row r="490" spans="1:6" hidden="1" x14ac:dyDescent="0.25">
      <c r="A490" t="s">
        <v>237</v>
      </c>
      <c r="B490" t="s">
        <v>158</v>
      </c>
      <c r="E490" s="3">
        <f>HYPERLINK("https://sao.dolgi.msk.ru/account/1404102817/", 1404102817)</f>
        <v>1404102817</v>
      </c>
      <c r="F490">
        <v>-5071.91</v>
      </c>
    </row>
    <row r="491" spans="1:6" hidden="1" x14ac:dyDescent="0.25">
      <c r="A491" t="s">
        <v>237</v>
      </c>
      <c r="B491" t="s">
        <v>159</v>
      </c>
      <c r="E491" s="3">
        <f>HYPERLINK("https://sao.dolgi.msk.ru/account/1404102155/", 1404102155)</f>
        <v>1404102155</v>
      </c>
      <c r="F491">
        <v>-3889.49</v>
      </c>
    </row>
    <row r="492" spans="1:6" hidden="1" x14ac:dyDescent="0.25">
      <c r="A492" t="s">
        <v>237</v>
      </c>
      <c r="B492" t="s">
        <v>160</v>
      </c>
      <c r="E492" s="3">
        <f>HYPERLINK("https://sao.dolgi.msk.ru/account/1404103457/", 1404103457)</f>
        <v>1404103457</v>
      </c>
      <c r="F492">
        <v>-4329.04</v>
      </c>
    </row>
    <row r="493" spans="1:6" hidden="1" x14ac:dyDescent="0.25">
      <c r="A493" t="s">
        <v>237</v>
      </c>
      <c r="B493" t="s">
        <v>161</v>
      </c>
      <c r="E493" s="3">
        <f>HYPERLINK("https://sao.dolgi.msk.ru/account/1404103158/", 1404103158)</f>
        <v>1404103158</v>
      </c>
      <c r="F493">
        <v>-4127.92</v>
      </c>
    </row>
    <row r="494" spans="1:6" hidden="1" x14ac:dyDescent="0.25">
      <c r="A494" t="s">
        <v>237</v>
      </c>
      <c r="B494" t="s">
        <v>162</v>
      </c>
      <c r="E494" s="3">
        <f>HYPERLINK("https://sao.dolgi.msk.ru/account/1404103465/", 1404103465)</f>
        <v>1404103465</v>
      </c>
      <c r="F494">
        <v>-2969.94</v>
      </c>
    </row>
    <row r="495" spans="1:6" x14ac:dyDescent="0.25">
      <c r="A495" t="s">
        <v>237</v>
      </c>
      <c r="B495" t="s">
        <v>163</v>
      </c>
      <c r="C495" s="5" t="str">
        <f>" кв. "&amp;B495</f>
        <v xml:space="preserve"> кв. 159</v>
      </c>
      <c r="D495" s="5" t="str">
        <f>CONCATENATE(A495,C495)</f>
        <v>Беломорская ул., дом 5 к.1 кв. 159</v>
      </c>
      <c r="E495" s="3">
        <f>HYPERLINK("https://sao.dolgi.msk.ru/account/1404102163/", 1404102163)</f>
        <v>1404102163</v>
      </c>
      <c r="F495">
        <v>1468.12</v>
      </c>
    </row>
    <row r="496" spans="1:6" hidden="1" x14ac:dyDescent="0.25">
      <c r="A496" t="s">
        <v>237</v>
      </c>
      <c r="B496" t="s">
        <v>164</v>
      </c>
      <c r="E496" s="3">
        <f>HYPERLINK("https://sao.dolgi.msk.ru/account/1404103481/", 1404103481)</f>
        <v>1404103481</v>
      </c>
      <c r="F496">
        <v>-3454.54</v>
      </c>
    </row>
    <row r="497" spans="1:6" hidden="1" x14ac:dyDescent="0.25">
      <c r="A497" t="s">
        <v>237</v>
      </c>
      <c r="B497" t="s">
        <v>165</v>
      </c>
      <c r="E497" s="3">
        <f>HYPERLINK("https://sao.dolgi.msk.ru/account/1404102438/", 1404102438)</f>
        <v>1404102438</v>
      </c>
      <c r="F497">
        <v>-3136.7</v>
      </c>
    </row>
    <row r="498" spans="1:6" hidden="1" x14ac:dyDescent="0.25">
      <c r="A498" t="s">
        <v>237</v>
      </c>
      <c r="B498" t="s">
        <v>166</v>
      </c>
      <c r="E498" s="3">
        <f>HYPERLINK("https://sao.dolgi.msk.ru/account/1404102446/", 1404102446)</f>
        <v>1404102446</v>
      </c>
      <c r="F498">
        <v>-5052.82</v>
      </c>
    </row>
    <row r="499" spans="1:6" hidden="1" x14ac:dyDescent="0.25">
      <c r="A499" t="s">
        <v>237</v>
      </c>
      <c r="B499" t="s">
        <v>167</v>
      </c>
      <c r="E499" s="3">
        <f>HYPERLINK("https://sao.dolgi.msk.ru/account/1404102171/", 1404102171)</f>
        <v>1404102171</v>
      </c>
      <c r="F499">
        <v>-4893.01</v>
      </c>
    </row>
    <row r="500" spans="1:6" hidden="1" x14ac:dyDescent="0.25">
      <c r="A500" t="s">
        <v>237</v>
      </c>
      <c r="B500" t="s">
        <v>168</v>
      </c>
      <c r="E500" s="3">
        <f>HYPERLINK("https://sao.dolgi.msk.ru/account/1404102454/", 1404102454)</f>
        <v>1404102454</v>
      </c>
      <c r="F500">
        <v>0</v>
      </c>
    </row>
    <row r="501" spans="1:6" hidden="1" x14ac:dyDescent="0.25">
      <c r="A501" t="s">
        <v>237</v>
      </c>
      <c r="B501" t="s">
        <v>169</v>
      </c>
      <c r="E501" s="3">
        <f>HYPERLINK("https://sao.dolgi.msk.ru/account/1404102462/", 1404102462)</f>
        <v>1404102462</v>
      </c>
      <c r="F501">
        <v>-4552.2</v>
      </c>
    </row>
    <row r="502" spans="1:6" hidden="1" x14ac:dyDescent="0.25">
      <c r="A502" t="s">
        <v>237</v>
      </c>
      <c r="B502" t="s">
        <v>169</v>
      </c>
      <c r="E502" s="3">
        <f>HYPERLINK("https://sao.dolgi.msk.ru/account/1404103502/", 1404103502)</f>
        <v>1404103502</v>
      </c>
      <c r="F502">
        <v>-963.62</v>
      </c>
    </row>
    <row r="503" spans="1:6" hidden="1" x14ac:dyDescent="0.25">
      <c r="A503" t="s">
        <v>237</v>
      </c>
      <c r="B503" t="s">
        <v>170</v>
      </c>
      <c r="E503" s="3">
        <f>HYPERLINK("https://sao.dolgi.msk.ru/account/1404101507/", 1404101507)</f>
        <v>1404101507</v>
      </c>
      <c r="F503">
        <v>-1227.95</v>
      </c>
    </row>
    <row r="504" spans="1:6" hidden="1" x14ac:dyDescent="0.25">
      <c r="A504" t="s">
        <v>237</v>
      </c>
      <c r="B504" t="s">
        <v>171</v>
      </c>
      <c r="E504" s="3">
        <f>HYPERLINK("https://sao.dolgi.msk.ru/account/1404101515/", 1404101515)</f>
        <v>1404101515</v>
      </c>
      <c r="F504">
        <v>-2210.17</v>
      </c>
    </row>
    <row r="505" spans="1:6" hidden="1" x14ac:dyDescent="0.25">
      <c r="A505" t="s">
        <v>237</v>
      </c>
      <c r="B505" t="s">
        <v>172</v>
      </c>
      <c r="E505" s="3">
        <f>HYPERLINK("https://sao.dolgi.msk.ru/account/1404102825/", 1404102825)</f>
        <v>1404102825</v>
      </c>
      <c r="F505">
        <v>-1616.92</v>
      </c>
    </row>
    <row r="506" spans="1:6" hidden="1" x14ac:dyDescent="0.25">
      <c r="A506" t="s">
        <v>237</v>
      </c>
      <c r="B506" t="s">
        <v>173</v>
      </c>
      <c r="E506" s="3">
        <f>HYPERLINK("https://sao.dolgi.msk.ru/account/1404102489/", 1404102489)</f>
        <v>1404102489</v>
      </c>
      <c r="F506">
        <v>-2255.06</v>
      </c>
    </row>
    <row r="507" spans="1:6" hidden="1" x14ac:dyDescent="0.25">
      <c r="A507" t="s">
        <v>237</v>
      </c>
      <c r="B507" t="s">
        <v>174</v>
      </c>
      <c r="E507" s="3">
        <f>HYPERLINK("https://sao.dolgi.msk.ru/account/1404101822/", 1404101822)</f>
        <v>1404101822</v>
      </c>
      <c r="F507">
        <v>-4588.67</v>
      </c>
    </row>
    <row r="508" spans="1:6" hidden="1" x14ac:dyDescent="0.25">
      <c r="A508" t="s">
        <v>237</v>
      </c>
      <c r="B508" t="s">
        <v>175</v>
      </c>
      <c r="E508" s="3">
        <f>HYPERLINK("https://sao.dolgi.msk.ru/account/1404103529/", 1404103529)</f>
        <v>1404103529</v>
      </c>
      <c r="F508">
        <v>-2779.21</v>
      </c>
    </row>
    <row r="509" spans="1:6" hidden="1" x14ac:dyDescent="0.25">
      <c r="A509" t="s">
        <v>237</v>
      </c>
      <c r="B509" t="s">
        <v>176</v>
      </c>
      <c r="E509" s="3">
        <f>HYPERLINK("https://sao.dolgi.msk.ru/account/1404101523/", 1404101523)</f>
        <v>1404101523</v>
      </c>
      <c r="F509">
        <v>-2347.59</v>
      </c>
    </row>
    <row r="510" spans="1:6" hidden="1" x14ac:dyDescent="0.25">
      <c r="A510" t="s">
        <v>237</v>
      </c>
      <c r="B510" t="s">
        <v>177</v>
      </c>
      <c r="E510" s="3">
        <f>HYPERLINK("https://sao.dolgi.msk.ru/account/1404101849/", 1404101849)</f>
        <v>1404101849</v>
      </c>
      <c r="F510">
        <v>-1680.54</v>
      </c>
    </row>
    <row r="511" spans="1:6" hidden="1" x14ac:dyDescent="0.25">
      <c r="A511" t="s">
        <v>237</v>
      </c>
      <c r="B511" t="s">
        <v>178</v>
      </c>
      <c r="E511" s="3">
        <f>HYPERLINK("https://sao.dolgi.msk.ru/account/1404103537/", 1404103537)</f>
        <v>1404103537</v>
      </c>
      <c r="F511">
        <v>-6373.47</v>
      </c>
    </row>
    <row r="512" spans="1:6" hidden="1" x14ac:dyDescent="0.25">
      <c r="A512" t="s">
        <v>237</v>
      </c>
      <c r="B512" t="s">
        <v>179</v>
      </c>
      <c r="E512" s="3">
        <f>HYPERLINK("https://sao.dolgi.msk.ru/account/1404103174/", 1404103174)</f>
        <v>1404103174</v>
      </c>
      <c r="F512">
        <v>0</v>
      </c>
    </row>
    <row r="513" spans="1:6" hidden="1" x14ac:dyDescent="0.25">
      <c r="A513" t="s">
        <v>237</v>
      </c>
      <c r="B513" t="s">
        <v>180</v>
      </c>
      <c r="E513" s="3">
        <f>HYPERLINK("https://sao.dolgi.msk.ru/account/1404103182/", 1404103182)</f>
        <v>1404103182</v>
      </c>
      <c r="F513">
        <v>-984.25</v>
      </c>
    </row>
    <row r="514" spans="1:6" hidden="1" x14ac:dyDescent="0.25">
      <c r="A514" t="s">
        <v>237</v>
      </c>
      <c r="B514" t="s">
        <v>181</v>
      </c>
      <c r="E514" s="3">
        <f>HYPERLINK("https://sao.dolgi.msk.ru/account/1404102198/", 1404102198)</f>
        <v>1404102198</v>
      </c>
      <c r="F514">
        <v>-4303.93</v>
      </c>
    </row>
    <row r="515" spans="1:6" x14ac:dyDescent="0.25">
      <c r="A515" t="s">
        <v>237</v>
      </c>
      <c r="B515" t="s">
        <v>182</v>
      </c>
      <c r="C515" s="5" t="str">
        <f>" кв. "&amp;B515</f>
        <v xml:space="preserve"> кв. 178</v>
      </c>
      <c r="D515" s="5" t="str">
        <f>CONCATENATE(A515,C515)</f>
        <v>Беломорская ул., дом 5 к.1 кв. 178</v>
      </c>
      <c r="E515" s="3">
        <f>HYPERLINK("https://sao.dolgi.msk.ru/account/1404103545/", 1404103545)</f>
        <v>1404103545</v>
      </c>
      <c r="F515">
        <v>8559.7099999999991</v>
      </c>
    </row>
    <row r="516" spans="1:6" hidden="1" x14ac:dyDescent="0.25">
      <c r="A516" t="s">
        <v>237</v>
      </c>
      <c r="B516" t="s">
        <v>183</v>
      </c>
      <c r="E516" s="3">
        <f>HYPERLINK("https://sao.dolgi.msk.ru/account/1404102219/", 1404102219)</f>
        <v>1404102219</v>
      </c>
      <c r="F516">
        <v>-3250.1</v>
      </c>
    </row>
    <row r="517" spans="1:6" hidden="1" x14ac:dyDescent="0.25">
      <c r="A517" t="s">
        <v>237</v>
      </c>
      <c r="B517" t="s">
        <v>184</v>
      </c>
      <c r="E517" s="3">
        <f>HYPERLINK("https://sao.dolgi.msk.ru/account/1404101857/", 1404101857)</f>
        <v>1404101857</v>
      </c>
      <c r="F517">
        <v>-2618.48</v>
      </c>
    </row>
    <row r="518" spans="1:6" hidden="1" x14ac:dyDescent="0.25">
      <c r="A518" t="s">
        <v>237</v>
      </c>
      <c r="B518" t="s">
        <v>185</v>
      </c>
      <c r="E518" s="3">
        <f>HYPERLINK("https://sao.dolgi.msk.ru/account/1404102235/", 1404102235)</f>
        <v>1404102235</v>
      </c>
      <c r="F518">
        <v>-3769.32</v>
      </c>
    </row>
    <row r="519" spans="1:6" hidden="1" x14ac:dyDescent="0.25">
      <c r="A519" t="s">
        <v>237</v>
      </c>
      <c r="B519" t="s">
        <v>186</v>
      </c>
      <c r="E519" s="3">
        <f>HYPERLINK("https://sao.dolgi.msk.ru/account/1404102833/", 1404102833)</f>
        <v>1404102833</v>
      </c>
      <c r="F519">
        <v>-8696.25</v>
      </c>
    </row>
    <row r="520" spans="1:6" hidden="1" x14ac:dyDescent="0.25">
      <c r="A520" t="s">
        <v>237</v>
      </c>
      <c r="B520" t="s">
        <v>187</v>
      </c>
      <c r="E520" s="3">
        <f>HYPERLINK("https://sao.dolgi.msk.ru/account/1404102497/", 1404102497)</f>
        <v>1404102497</v>
      </c>
      <c r="F520">
        <v>-7996.38</v>
      </c>
    </row>
    <row r="521" spans="1:6" hidden="1" x14ac:dyDescent="0.25">
      <c r="A521" t="s">
        <v>237</v>
      </c>
      <c r="B521" t="s">
        <v>188</v>
      </c>
      <c r="E521" s="3">
        <f>HYPERLINK("https://sao.dolgi.msk.ru/account/1404102243/", 1404102243)</f>
        <v>1404102243</v>
      </c>
      <c r="F521">
        <v>-3020.08</v>
      </c>
    </row>
    <row r="522" spans="1:6" hidden="1" x14ac:dyDescent="0.25">
      <c r="A522" t="s">
        <v>237</v>
      </c>
      <c r="B522" t="s">
        <v>189</v>
      </c>
      <c r="E522" s="3">
        <f>HYPERLINK("https://sao.dolgi.msk.ru/account/1404101099/", 1404101099)</f>
        <v>1404101099</v>
      </c>
      <c r="F522">
        <v>-33015.919999999998</v>
      </c>
    </row>
    <row r="523" spans="1:6" hidden="1" x14ac:dyDescent="0.25">
      <c r="A523" t="s">
        <v>237</v>
      </c>
      <c r="B523" t="s">
        <v>190</v>
      </c>
      <c r="E523" s="3">
        <f>HYPERLINK("https://sao.dolgi.msk.ru/account/1404101865/", 1404101865)</f>
        <v>1404101865</v>
      </c>
      <c r="F523">
        <v>-66.62</v>
      </c>
    </row>
    <row r="524" spans="1:6" hidden="1" x14ac:dyDescent="0.25">
      <c r="A524" t="s">
        <v>237</v>
      </c>
      <c r="B524" t="s">
        <v>191</v>
      </c>
      <c r="E524" s="3">
        <f>HYPERLINK("https://sao.dolgi.msk.ru/account/1404102841/", 1404102841)</f>
        <v>1404102841</v>
      </c>
      <c r="F524">
        <v>-3381.6</v>
      </c>
    </row>
    <row r="525" spans="1:6" hidden="1" x14ac:dyDescent="0.25">
      <c r="A525" t="s">
        <v>237</v>
      </c>
      <c r="B525" t="s">
        <v>192</v>
      </c>
      <c r="E525" s="3">
        <f>HYPERLINK("https://sao.dolgi.msk.ru/account/1404102868/", 1404102868)</f>
        <v>1404102868</v>
      </c>
      <c r="F525">
        <v>-5832.08</v>
      </c>
    </row>
    <row r="526" spans="1:6" hidden="1" x14ac:dyDescent="0.25">
      <c r="A526" t="s">
        <v>237</v>
      </c>
      <c r="B526" t="s">
        <v>193</v>
      </c>
      <c r="E526" s="3">
        <f>HYPERLINK("https://sao.dolgi.msk.ru/account/1404101531/", 1404101531)</f>
        <v>1404101531</v>
      </c>
      <c r="F526">
        <v>0</v>
      </c>
    </row>
    <row r="527" spans="1:6" hidden="1" x14ac:dyDescent="0.25">
      <c r="A527" t="s">
        <v>237</v>
      </c>
      <c r="B527" t="s">
        <v>194</v>
      </c>
      <c r="E527" s="3">
        <f>HYPERLINK("https://sao.dolgi.msk.ru/account/1404101742/", 1404101742)</f>
        <v>1404101742</v>
      </c>
      <c r="F527">
        <v>0</v>
      </c>
    </row>
    <row r="528" spans="1:6" hidden="1" x14ac:dyDescent="0.25">
      <c r="A528" t="s">
        <v>237</v>
      </c>
      <c r="B528" t="s">
        <v>195</v>
      </c>
      <c r="E528" s="3">
        <f>HYPERLINK("https://sao.dolgi.msk.ru/account/1404101566/", 1404101566)</f>
        <v>1404101566</v>
      </c>
      <c r="F528">
        <v>-964.28</v>
      </c>
    </row>
    <row r="529" spans="1:6" hidden="1" x14ac:dyDescent="0.25">
      <c r="A529" t="s">
        <v>237</v>
      </c>
      <c r="B529" t="s">
        <v>196</v>
      </c>
      <c r="E529" s="3">
        <f>HYPERLINK("https://sao.dolgi.msk.ru/account/1404102876/", 1404102876)</f>
        <v>1404102876</v>
      </c>
      <c r="F529">
        <v>-3847.16</v>
      </c>
    </row>
    <row r="530" spans="1:6" hidden="1" x14ac:dyDescent="0.25">
      <c r="A530" t="s">
        <v>237</v>
      </c>
      <c r="B530" t="s">
        <v>197</v>
      </c>
      <c r="E530" s="3">
        <f>HYPERLINK("https://sao.dolgi.msk.ru/account/1404103203/", 1404103203)</f>
        <v>1404103203</v>
      </c>
      <c r="F530">
        <v>0</v>
      </c>
    </row>
    <row r="531" spans="1:6" hidden="1" x14ac:dyDescent="0.25">
      <c r="A531" t="s">
        <v>237</v>
      </c>
      <c r="B531" t="s">
        <v>198</v>
      </c>
      <c r="E531" s="3">
        <f>HYPERLINK("https://sao.dolgi.msk.ru/account/1404103553/", 1404103553)</f>
        <v>1404103553</v>
      </c>
      <c r="F531">
        <v>-3631.72</v>
      </c>
    </row>
    <row r="532" spans="1:6" hidden="1" x14ac:dyDescent="0.25">
      <c r="A532" t="s">
        <v>237</v>
      </c>
      <c r="B532" t="s">
        <v>199</v>
      </c>
      <c r="E532" s="3">
        <f>HYPERLINK("https://sao.dolgi.msk.ru/account/1404102278/", 1404102278)</f>
        <v>1404102278</v>
      </c>
      <c r="F532">
        <v>0</v>
      </c>
    </row>
    <row r="533" spans="1:6" hidden="1" x14ac:dyDescent="0.25">
      <c r="A533" t="s">
        <v>237</v>
      </c>
      <c r="B533" t="s">
        <v>200</v>
      </c>
      <c r="E533" s="3">
        <f>HYPERLINK("https://sao.dolgi.msk.ru/account/1404103561/", 1404103561)</f>
        <v>1404103561</v>
      </c>
      <c r="F533">
        <v>-2656.1</v>
      </c>
    </row>
    <row r="534" spans="1:6" hidden="1" x14ac:dyDescent="0.25">
      <c r="A534" t="s">
        <v>237</v>
      </c>
      <c r="B534" t="s">
        <v>201</v>
      </c>
      <c r="E534" s="3">
        <f>HYPERLINK("https://sao.dolgi.msk.ru/account/1404102518/", 1404102518)</f>
        <v>1404102518</v>
      </c>
      <c r="F534">
        <v>-1556.42</v>
      </c>
    </row>
    <row r="535" spans="1:6" hidden="1" x14ac:dyDescent="0.25">
      <c r="A535" t="s">
        <v>237</v>
      </c>
      <c r="B535" t="s">
        <v>202</v>
      </c>
      <c r="E535" s="3">
        <f>HYPERLINK("https://sao.dolgi.msk.ru/account/1404103588/", 1404103588)</f>
        <v>1404103588</v>
      </c>
      <c r="F535">
        <v>0</v>
      </c>
    </row>
    <row r="536" spans="1:6" hidden="1" x14ac:dyDescent="0.25">
      <c r="A536" t="s">
        <v>237</v>
      </c>
      <c r="B536" t="s">
        <v>203</v>
      </c>
      <c r="E536" s="3">
        <f>HYPERLINK("https://sao.dolgi.msk.ru/account/1404102374/", 1404102374)</f>
        <v>1404102374</v>
      </c>
      <c r="F536">
        <v>-4760.9799999999996</v>
      </c>
    </row>
    <row r="537" spans="1:6" hidden="1" x14ac:dyDescent="0.25">
      <c r="A537" t="s">
        <v>237</v>
      </c>
      <c r="B537" t="s">
        <v>204</v>
      </c>
      <c r="E537" s="3">
        <f>HYPERLINK("https://sao.dolgi.msk.ru/account/1404102892/", 1404102892)</f>
        <v>1404102892</v>
      </c>
      <c r="F537">
        <v>-5440.7</v>
      </c>
    </row>
    <row r="538" spans="1:6" hidden="1" x14ac:dyDescent="0.25">
      <c r="A538" t="s">
        <v>237</v>
      </c>
      <c r="B538" t="s">
        <v>205</v>
      </c>
      <c r="E538" s="3">
        <f>HYPERLINK("https://sao.dolgi.msk.ru/account/1404103211/", 1404103211)</f>
        <v>1404103211</v>
      </c>
      <c r="F538">
        <v>-3582.88</v>
      </c>
    </row>
    <row r="539" spans="1:6" hidden="1" x14ac:dyDescent="0.25">
      <c r="A539" t="s">
        <v>237</v>
      </c>
      <c r="B539" t="s">
        <v>206</v>
      </c>
      <c r="E539" s="3">
        <f>HYPERLINK("https://sao.dolgi.msk.ru/account/1404101873/", 1404101873)</f>
        <v>1404101873</v>
      </c>
      <c r="F539">
        <v>-3611.7</v>
      </c>
    </row>
    <row r="540" spans="1:6" hidden="1" x14ac:dyDescent="0.25">
      <c r="A540" t="s">
        <v>237</v>
      </c>
      <c r="B540" t="s">
        <v>207</v>
      </c>
      <c r="E540" s="3">
        <f>HYPERLINK("https://sao.dolgi.msk.ru/account/1404102905/", 1404102905)</f>
        <v>1404102905</v>
      </c>
      <c r="F540">
        <v>-5619.19</v>
      </c>
    </row>
    <row r="541" spans="1:6" hidden="1" x14ac:dyDescent="0.25">
      <c r="A541" t="s">
        <v>237</v>
      </c>
      <c r="B541" t="s">
        <v>208</v>
      </c>
      <c r="E541" s="3">
        <f>HYPERLINK("https://sao.dolgi.msk.ru/account/1404103238/", 1404103238)</f>
        <v>1404103238</v>
      </c>
      <c r="F541">
        <v>-2293.9</v>
      </c>
    </row>
    <row r="542" spans="1:6" hidden="1" x14ac:dyDescent="0.25">
      <c r="A542" t="s">
        <v>237</v>
      </c>
      <c r="B542" t="s">
        <v>209</v>
      </c>
      <c r="E542" s="3">
        <f>HYPERLINK("https://sao.dolgi.msk.ru/account/1404102913/", 1404102913)</f>
        <v>1404102913</v>
      </c>
      <c r="F542">
        <v>0</v>
      </c>
    </row>
    <row r="543" spans="1:6" hidden="1" x14ac:dyDescent="0.25">
      <c r="A543" t="s">
        <v>237</v>
      </c>
      <c r="B543" t="s">
        <v>210</v>
      </c>
      <c r="E543" s="3">
        <f>HYPERLINK("https://sao.dolgi.msk.ru/account/1404101574/", 1404101574)</f>
        <v>1404101574</v>
      </c>
      <c r="F543">
        <v>-3186.2</v>
      </c>
    </row>
    <row r="544" spans="1:6" hidden="1" x14ac:dyDescent="0.25">
      <c r="A544" t="s">
        <v>237</v>
      </c>
      <c r="B544" t="s">
        <v>211</v>
      </c>
      <c r="E544" s="3">
        <f>HYPERLINK("https://sao.dolgi.msk.ru/account/1404103246/", 1404103246)</f>
        <v>1404103246</v>
      </c>
      <c r="F544">
        <v>-2641.05</v>
      </c>
    </row>
    <row r="545" spans="1:6" hidden="1" x14ac:dyDescent="0.25">
      <c r="A545" t="s">
        <v>237</v>
      </c>
      <c r="B545" t="s">
        <v>212</v>
      </c>
      <c r="E545" s="3">
        <f>HYPERLINK("https://sao.dolgi.msk.ru/account/1404101101/", 1404101101)</f>
        <v>1404101101</v>
      </c>
      <c r="F545">
        <v>-3163.53</v>
      </c>
    </row>
    <row r="546" spans="1:6" hidden="1" x14ac:dyDescent="0.25">
      <c r="A546" t="s">
        <v>237</v>
      </c>
      <c r="B546" t="s">
        <v>213</v>
      </c>
      <c r="E546" s="3">
        <f>HYPERLINK("https://sao.dolgi.msk.ru/account/1404101582/", 1404101582)</f>
        <v>1404101582</v>
      </c>
      <c r="F546">
        <v>-4663.13</v>
      </c>
    </row>
    <row r="547" spans="1:6" x14ac:dyDescent="0.25">
      <c r="A547" t="s">
        <v>237</v>
      </c>
      <c r="B547" t="s">
        <v>214</v>
      </c>
      <c r="C547" s="5" t="str">
        <f>" кв. "&amp;B547</f>
        <v xml:space="preserve"> кв. 210</v>
      </c>
      <c r="D547" s="5" t="str">
        <f>CONCATENATE(A547,C547)</f>
        <v>Беломорская ул., дом 5 к.1 кв. 210</v>
      </c>
      <c r="E547" s="3">
        <f>HYPERLINK("https://sao.dolgi.msk.ru/account/1404103617/", 1404103617)</f>
        <v>1404103617</v>
      </c>
      <c r="F547">
        <v>529.9</v>
      </c>
    </row>
    <row r="548" spans="1:6" hidden="1" x14ac:dyDescent="0.25">
      <c r="A548" t="s">
        <v>237</v>
      </c>
      <c r="B548" t="s">
        <v>215</v>
      </c>
      <c r="E548" s="3">
        <f>HYPERLINK("https://sao.dolgi.msk.ru/account/1404103254/", 1404103254)</f>
        <v>1404103254</v>
      </c>
      <c r="F548">
        <v>-3634.26</v>
      </c>
    </row>
    <row r="549" spans="1:6" x14ac:dyDescent="0.25">
      <c r="A549" t="s">
        <v>237</v>
      </c>
      <c r="B549" t="s">
        <v>216</v>
      </c>
      <c r="C549" s="5" t="str">
        <f>" кв. "&amp;B549</f>
        <v xml:space="preserve"> кв. 212</v>
      </c>
      <c r="D549" s="5" t="str">
        <f>CONCATENATE(A549,C549)</f>
        <v>Беломорская ул., дом 5 к.1 кв. 212</v>
      </c>
      <c r="E549" s="3">
        <f>HYPERLINK("https://sao.dolgi.msk.ru/account/1404102921/", 1404102921)</f>
        <v>1404102921</v>
      </c>
      <c r="F549">
        <v>85023.07</v>
      </c>
    </row>
    <row r="550" spans="1:6" hidden="1" x14ac:dyDescent="0.25">
      <c r="A550" t="s">
        <v>237</v>
      </c>
      <c r="B550" t="s">
        <v>217</v>
      </c>
      <c r="E550" s="3">
        <f>HYPERLINK("https://sao.dolgi.msk.ru/account/1404101128/", 1404101128)</f>
        <v>1404101128</v>
      </c>
      <c r="F550">
        <v>-3839</v>
      </c>
    </row>
    <row r="551" spans="1:6" hidden="1" x14ac:dyDescent="0.25">
      <c r="A551" t="s">
        <v>237</v>
      </c>
      <c r="B551" t="s">
        <v>218</v>
      </c>
      <c r="E551" s="3">
        <f>HYPERLINK("https://sao.dolgi.msk.ru/account/1404101136/", 1404101136)</f>
        <v>1404101136</v>
      </c>
      <c r="F551">
        <v>-5738.49</v>
      </c>
    </row>
    <row r="552" spans="1:6" hidden="1" x14ac:dyDescent="0.25">
      <c r="A552" t="s">
        <v>238</v>
      </c>
      <c r="B552" t="s">
        <v>219</v>
      </c>
      <c r="E552" s="3">
        <f>HYPERLINK("https://sao.dolgi.msk.ru/account/1404103844/", 1404103844)</f>
        <v>1404103844</v>
      </c>
      <c r="F552">
        <v>-3189.97</v>
      </c>
    </row>
    <row r="553" spans="1:6" hidden="1" x14ac:dyDescent="0.25">
      <c r="A553" t="s">
        <v>238</v>
      </c>
      <c r="B553" t="s">
        <v>220</v>
      </c>
      <c r="E553" s="3">
        <f>HYPERLINK("https://sao.dolgi.msk.ru/account/1404104249/", 1404104249)</f>
        <v>1404104249</v>
      </c>
      <c r="F553">
        <v>-6985.42</v>
      </c>
    </row>
    <row r="554" spans="1:6" hidden="1" x14ac:dyDescent="0.25">
      <c r="A554" t="s">
        <v>238</v>
      </c>
      <c r="B554" t="s">
        <v>221</v>
      </c>
      <c r="E554" s="3">
        <f>HYPERLINK("https://sao.dolgi.msk.ru/account/1404104257/", 1404104257)</f>
        <v>1404104257</v>
      </c>
      <c r="F554">
        <v>-5109.1000000000004</v>
      </c>
    </row>
    <row r="555" spans="1:6" hidden="1" x14ac:dyDescent="0.25">
      <c r="A555" t="s">
        <v>238</v>
      </c>
      <c r="B555" t="s">
        <v>222</v>
      </c>
      <c r="E555" s="3">
        <f>HYPERLINK("https://sao.dolgi.msk.ru/account/1404103713/", 1404103713)</f>
        <v>1404103713</v>
      </c>
      <c r="F555">
        <v>-5175.42</v>
      </c>
    </row>
    <row r="556" spans="1:6" hidden="1" x14ac:dyDescent="0.25">
      <c r="A556" t="s">
        <v>238</v>
      </c>
      <c r="B556" t="s">
        <v>223</v>
      </c>
      <c r="E556" s="3">
        <f>HYPERLINK("https://sao.dolgi.msk.ru/account/1404104118/", 1404104118)</f>
        <v>1404104118</v>
      </c>
      <c r="F556">
        <v>-3018.13</v>
      </c>
    </row>
    <row r="557" spans="1:6" hidden="1" x14ac:dyDescent="0.25">
      <c r="A557" t="s">
        <v>238</v>
      </c>
      <c r="B557" t="s">
        <v>224</v>
      </c>
      <c r="E557" s="3">
        <f>HYPERLINK("https://sao.dolgi.msk.ru/account/1404104492/", 1404104492)</f>
        <v>1404104492</v>
      </c>
      <c r="F557">
        <v>-4984.59</v>
      </c>
    </row>
    <row r="558" spans="1:6" hidden="1" x14ac:dyDescent="0.25">
      <c r="A558" t="s">
        <v>238</v>
      </c>
      <c r="B558" t="s">
        <v>225</v>
      </c>
      <c r="E558" s="3">
        <f>HYPERLINK("https://sao.dolgi.msk.ru/account/1404104126/", 1404104126)</f>
        <v>1404104126</v>
      </c>
      <c r="F558">
        <v>0</v>
      </c>
    </row>
    <row r="559" spans="1:6" hidden="1" x14ac:dyDescent="0.25">
      <c r="A559" t="s">
        <v>238</v>
      </c>
      <c r="B559" t="s">
        <v>226</v>
      </c>
      <c r="E559" s="3">
        <f>HYPERLINK("https://sao.dolgi.msk.ru/account/1404104628/", 1404104628)</f>
        <v>1404104628</v>
      </c>
      <c r="F559">
        <v>-4700.71</v>
      </c>
    </row>
    <row r="560" spans="1:6" hidden="1" x14ac:dyDescent="0.25">
      <c r="A560" t="s">
        <v>238</v>
      </c>
      <c r="B560" t="s">
        <v>227</v>
      </c>
      <c r="E560" s="3">
        <f>HYPERLINK("https://sao.dolgi.msk.ru/account/1404103991/", 1404103991)</f>
        <v>1404103991</v>
      </c>
      <c r="F560">
        <v>-4791.96</v>
      </c>
    </row>
    <row r="561" spans="1:6" hidden="1" x14ac:dyDescent="0.25">
      <c r="A561" t="s">
        <v>238</v>
      </c>
      <c r="B561" t="s">
        <v>228</v>
      </c>
      <c r="E561" s="3">
        <f>HYPERLINK("https://sao.dolgi.msk.ru/account/1404103852/", 1404103852)</f>
        <v>1404103852</v>
      </c>
      <c r="F561">
        <v>-6134.47</v>
      </c>
    </row>
    <row r="562" spans="1:6" hidden="1" x14ac:dyDescent="0.25">
      <c r="A562" t="s">
        <v>238</v>
      </c>
      <c r="B562" t="s">
        <v>229</v>
      </c>
      <c r="E562" s="3">
        <f>HYPERLINK("https://sao.dolgi.msk.ru/account/1404104003/", 1404104003)</f>
        <v>1404104003</v>
      </c>
      <c r="F562">
        <v>-4201.84</v>
      </c>
    </row>
    <row r="563" spans="1:6" hidden="1" x14ac:dyDescent="0.25">
      <c r="A563" t="s">
        <v>238</v>
      </c>
      <c r="B563" t="s">
        <v>230</v>
      </c>
      <c r="E563" s="3">
        <f>HYPERLINK("https://sao.dolgi.msk.ru/account/1404104134/", 1404104134)</f>
        <v>1404104134</v>
      </c>
      <c r="F563">
        <v>0</v>
      </c>
    </row>
    <row r="564" spans="1:6" hidden="1" x14ac:dyDescent="0.25">
      <c r="A564" t="s">
        <v>238</v>
      </c>
      <c r="B564" t="s">
        <v>231</v>
      </c>
      <c r="E564" s="3">
        <f>HYPERLINK("https://sao.dolgi.msk.ru/account/1404104804/", 1404104804)</f>
        <v>1404104804</v>
      </c>
      <c r="F564">
        <v>-2937.83</v>
      </c>
    </row>
    <row r="565" spans="1:6" x14ac:dyDescent="0.25">
      <c r="A565" t="s">
        <v>238</v>
      </c>
      <c r="B565" t="s">
        <v>232</v>
      </c>
      <c r="C565" s="5" t="str">
        <f>" кв. "&amp;B565</f>
        <v xml:space="preserve"> кв. 228</v>
      </c>
      <c r="D565" s="5" t="str">
        <f>CONCATENATE(A565,C565)</f>
        <v>Беломорская ул., дом 5 к.2 кв. 228</v>
      </c>
      <c r="E565" s="3">
        <f>HYPERLINK("https://sao.dolgi.msk.ru/account/1404104505/", 1404104505)</f>
        <v>1404104505</v>
      </c>
      <c r="F565">
        <v>4020.41</v>
      </c>
    </row>
    <row r="566" spans="1:6" hidden="1" x14ac:dyDescent="0.25">
      <c r="A566" t="s">
        <v>238</v>
      </c>
      <c r="B566" t="s">
        <v>233</v>
      </c>
      <c r="E566" s="3">
        <f>HYPERLINK("https://sao.dolgi.msk.ru/account/1404103721/", 1404103721)</f>
        <v>1404103721</v>
      </c>
      <c r="F566">
        <v>-2711.25</v>
      </c>
    </row>
    <row r="567" spans="1:6" hidden="1" x14ac:dyDescent="0.25">
      <c r="A567" t="s">
        <v>238</v>
      </c>
      <c r="B567" t="s">
        <v>234</v>
      </c>
      <c r="E567" s="3">
        <f>HYPERLINK("https://sao.dolgi.msk.ru/account/1404103748/", 1404103748)</f>
        <v>1404103748</v>
      </c>
      <c r="F567">
        <v>-5787.34</v>
      </c>
    </row>
    <row r="568" spans="1:6" hidden="1" x14ac:dyDescent="0.25">
      <c r="A568" t="s">
        <v>238</v>
      </c>
      <c r="B568" t="s">
        <v>235</v>
      </c>
      <c r="E568" s="3">
        <f>HYPERLINK("https://sao.dolgi.msk.ru/account/1404104636/", 1404104636)</f>
        <v>1404104636</v>
      </c>
      <c r="F568">
        <v>-743.04</v>
      </c>
    </row>
    <row r="569" spans="1:6" hidden="1" x14ac:dyDescent="0.25">
      <c r="A569" t="s">
        <v>238</v>
      </c>
      <c r="B569" t="s">
        <v>239</v>
      </c>
      <c r="E569" s="3">
        <f>HYPERLINK("https://sao.dolgi.msk.ru/account/1404104265/", 1404104265)</f>
        <v>1404104265</v>
      </c>
      <c r="F569">
        <v>-384.67</v>
      </c>
    </row>
    <row r="570" spans="1:6" hidden="1" x14ac:dyDescent="0.25">
      <c r="A570" t="s">
        <v>238</v>
      </c>
      <c r="B570" t="s">
        <v>240</v>
      </c>
      <c r="E570" s="3">
        <f>HYPERLINK("https://sao.dolgi.msk.ru/account/1404104011/", 1404104011)</f>
        <v>1404104011</v>
      </c>
      <c r="F570">
        <v>0</v>
      </c>
    </row>
    <row r="571" spans="1:6" hidden="1" x14ac:dyDescent="0.25">
      <c r="A571" t="s">
        <v>238</v>
      </c>
      <c r="B571" t="s">
        <v>241</v>
      </c>
      <c r="E571" s="3">
        <f>HYPERLINK("https://sao.dolgi.msk.ru/account/1404104513/", 1404104513)</f>
        <v>1404104513</v>
      </c>
      <c r="F571">
        <v>-3052.17</v>
      </c>
    </row>
    <row r="572" spans="1:6" hidden="1" x14ac:dyDescent="0.25">
      <c r="A572" t="s">
        <v>238</v>
      </c>
      <c r="B572" t="s">
        <v>242</v>
      </c>
      <c r="E572" s="3">
        <f>HYPERLINK("https://sao.dolgi.msk.ru/account/1404104273/", 1404104273)</f>
        <v>1404104273</v>
      </c>
      <c r="F572">
        <v>-5152.8500000000004</v>
      </c>
    </row>
    <row r="573" spans="1:6" hidden="1" x14ac:dyDescent="0.25">
      <c r="A573" t="s">
        <v>238</v>
      </c>
      <c r="B573" t="s">
        <v>243</v>
      </c>
      <c r="E573" s="3">
        <f>HYPERLINK("https://sao.dolgi.msk.ru/account/1404104281/", 1404104281)</f>
        <v>1404104281</v>
      </c>
      <c r="F573">
        <v>-4105.9399999999996</v>
      </c>
    </row>
    <row r="574" spans="1:6" hidden="1" x14ac:dyDescent="0.25">
      <c r="A574" t="s">
        <v>238</v>
      </c>
      <c r="B574" t="s">
        <v>244</v>
      </c>
      <c r="E574" s="3">
        <f>HYPERLINK("https://sao.dolgi.msk.ru/account/1404104142/", 1404104142)</f>
        <v>1404104142</v>
      </c>
      <c r="F574">
        <v>-9143.26</v>
      </c>
    </row>
    <row r="575" spans="1:6" hidden="1" x14ac:dyDescent="0.25">
      <c r="A575" t="s">
        <v>238</v>
      </c>
      <c r="B575" t="s">
        <v>244</v>
      </c>
      <c r="E575" s="3">
        <f>HYPERLINK("https://sao.dolgi.msk.ru/account/1404104302/", 1404104302)</f>
        <v>1404104302</v>
      </c>
      <c r="F575">
        <v>-3228.37</v>
      </c>
    </row>
    <row r="576" spans="1:6" hidden="1" x14ac:dyDescent="0.25">
      <c r="A576" t="s">
        <v>238</v>
      </c>
      <c r="B576" t="s">
        <v>245</v>
      </c>
      <c r="E576" s="3">
        <f>HYPERLINK("https://sao.dolgi.msk.ru/account/1404104644/", 1404104644)</f>
        <v>1404104644</v>
      </c>
      <c r="F576">
        <v>-2696.76</v>
      </c>
    </row>
    <row r="577" spans="1:6" hidden="1" x14ac:dyDescent="0.25">
      <c r="A577" t="s">
        <v>238</v>
      </c>
      <c r="B577" t="s">
        <v>246</v>
      </c>
      <c r="E577" s="3">
        <f>HYPERLINK("https://sao.dolgi.msk.ru/account/1404104652/", 1404104652)</f>
        <v>1404104652</v>
      </c>
      <c r="F577">
        <v>-8325.82</v>
      </c>
    </row>
    <row r="578" spans="1:6" hidden="1" x14ac:dyDescent="0.25">
      <c r="A578" t="s">
        <v>238</v>
      </c>
      <c r="B578" t="s">
        <v>247</v>
      </c>
      <c r="E578" s="3">
        <f>HYPERLINK("https://sao.dolgi.msk.ru/account/1404104679/", 1404104679)</f>
        <v>1404104679</v>
      </c>
      <c r="F578">
        <v>-4556.1000000000004</v>
      </c>
    </row>
    <row r="579" spans="1:6" hidden="1" x14ac:dyDescent="0.25">
      <c r="A579" t="s">
        <v>238</v>
      </c>
      <c r="B579" t="s">
        <v>248</v>
      </c>
      <c r="E579" s="3">
        <f>HYPERLINK("https://sao.dolgi.msk.ru/account/1404103836/", 1404103836)</f>
        <v>1404103836</v>
      </c>
      <c r="F579">
        <v>-3344.75</v>
      </c>
    </row>
    <row r="580" spans="1:6" hidden="1" x14ac:dyDescent="0.25">
      <c r="A580" t="s">
        <v>238</v>
      </c>
      <c r="B580" t="s">
        <v>249</v>
      </c>
      <c r="E580" s="3">
        <f>HYPERLINK("https://sao.dolgi.msk.ru/account/1404104329/", 1404104329)</f>
        <v>1404104329</v>
      </c>
      <c r="F580">
        <v>-3848.96</v>
      </c>
    </row>
    <row r="581" spans="1:6" hidden="1" x14ac:dyDescent="0.25">
      <c r="A581" t="s">
        <v>238</v>
      </c>
      <c r="B581" t="s">
        <v>250</v>
      </c>
      <c r="E581" s="3">
        <f>HYPERLINK("https://sao.dolgi.msk.ru/account/1404103756/", 1404103756)</f>
        <v>1404103756</v>
      </c>
      <c r="F581">
        <v>-2711.25</v>
      </c>
    </row>
    <row r="582" spans="1:6" hidden="1" x14ac:dyDescent="0.25">
      <c r="A582" t="s">
        <v>238</v>
      </c>
      <c r="B582" t="s">
        <v>251</v>
      </c>
      <c r="E582" s="3">
        <f>HYPERLINK("https://sao.dolgi.msk.ru/account/1404103879/", 1404103879)</f>
        <v>1404103879</v>
      </c>
      <c r="F582">
        <v>-6592.32</v>
      </c>
    </row>
    <row r="583" spans="1:6" hidden="1" x14ac:dyDescent="0.25">
      <c r="A583" t="s">
        <v>238</v>
      </c>
      <c r="B583" t="s">
        <v>252</v>
      </c>
      <c r="E583" s="3">
        <f>HYPERLINK("https://sao.dolgi.msk.ru/account/1404104687/", 1404104687)</f>
        <v>1404104687</v>
      </c>
      <c r="F583">
        <v>-6999.47</v>
      </c>
    </row>
    <row r="584" spans="1:6" hidden="1" x14ac:dyDescent="0.25">
      <c r="A584" t="s">
        <v>238</v>
      </c>
      <c r="B584" t="s">
        <v>253</v>
      </c>
      <c r="E584" s="3">
        <f>HYPERLINK("https://sao.dolgi.msk.ru/account/1404104169/", 1404104169)</f>
        <v>1404104169</v>
      </c>
      <c r="F584">
        <v>-1795.65</v>
      </c>
    </row>
    <row r="585" spans="1:6" hidden="1" x14ac:dyDescent="0.25">
      <c r="A585" t="s">
        <v>238</v>
      </c>
      <c r="B585" t="s">
        <v>253</v>
      </c>
      <c r="E585" s="3">
        <f>HYPERLINK("https://sao.dolgi.msk.ru/account/1404104484/", 1404104484)</f>
        <v>1404104484</v>
      </c>
      <c r="F585">
        <v>-1252.0899999999999</v>
      </c>
    </row>
    <row r="586" spans="1:6" hidden="1" x14ac:dyDescent="0.25">
      <c r="A586" t="s">
        <v>238</v>
      </c>
      <c r="B586" t="s">
        <v>254</v>
      </c>
      <c r="E586" s="3">
        <f>HYPERLINK("https://sao.dolgi.msk.ru/account/1404104812/", 1404104812)</f>
        <v>1404104812</v>
      </c>
      <c r="F586">
        <v>-5114.4799999999996</v>
      </c>
    </row>
    <row r="587" spans="1:6" hidden="1" x14ac:dyDescent="0.25">
      <c r="A587" t="s">
        <v>238</v>
      </c>
      <c r="B587" t="s">
        <v>255</v>
      </c>
      <c r="E587" s="3">
        <f>HYPERLINK("https://sao.dolgi.msk.ru/account/1404104337/", 1404104337)</f>
        <v>1404104337</v>
      </c>
      <c r="F587">
        <v>-239.58</v>
      </c>
    </row>
    <row r="588" spans="1:6" hidden="1" x14ac:dyDescent="0.25">
      <c r="A588" t="s">
        <v>238</v>
      </c>
      <c r="B588" t="s">
        <v>256</v>
      </c>
      <c r="E588" s="3">
        <f>HYPERLINK("https://sao.dolgi.msk.ru/account/1404104345/", 1404104345)</f>
        <v>1404104345</v>
      </c>
      <c r="F588">
        <v>-3963.31</v>
      </c>
    </row>
    <row r="589" spans="1:6" hidden="1" x14ac:dyDescent="0.25">
      <c r="A589" t="s">
        <v>238</v>
      </c>
      <c r="B589" t="s">
        <v>257</v>
      </c>
      <c r="E589" s="3">
        <f>HYPERLINK("https://sao.dolgi.msk.ru/account/1404104353/", 1404104353)</f>
        <v>1404104353</v>
      </c>
      <c r="F589">
        <v>-2369.4499999999998</v>
      </c>
    </row>
    <row r="590" spans="1:6" hidden="1" x14ac:dyDescent="0.25">
      <c r="A590" t="s">
        <v>238</v>
      </c>
      <c r="B590" t="s">
        <v>258</v>
      </c>
      <c r="E590" s="3">
        <f>HYPERLINK("https://sao.dolgi.msk.ru/account/1404104177/", 1404104177)</f>
        <v>1404104177</v>
      </c>
      <c r="F590">
        <v>-7591.85</v>
      </c>
    </row>
    <row r="591" spans="1:6" hidden="1" x14ac:dyDescent="0.25">
      <c r="A591" t="s">
        <v>238</v>
      </c>
      <c r="B591" t="s">
        <v>259</v>
      </c>
      <c r="E591" s="3">
        <f>HYPERLINK("https://sao.dolgi.msk.ru/account/1404103887/", 1404103887)</f>
        <v>1404103887</v>
      </c>
      <c r="F591">
        <v>0</v>
      </c>
    </row>
    <row r="592" spans="1:6" hidden="1" x14ac:dyDescent="0.25">
      <c r="A592" t="s">
        <v>238</v>
      </c>
      <c r="B592" t="s">
        <v>260</v>
      </c>
      <c r="E592" s="3">
        <f>HYPERLINK("https://sao.dolgi.msk.ru/account/1404104185/", 1404104185)</f>
        <v>1404104185</v>
      </c>
      <c r="F592">
        <v>-488.83</v>
      </c>
    </row>
    <row r="593" spans="1:6" hidden="1" x14ac:dyDescent="0.25">
      <c r="A593" t="s">
        <v>238</v>
      </c>
      <c r="B593" t="s">
        <v>260</v>
      </c>
      <c r="E593" s="3">
        <f>HYPERLINK("https://sao.dolgi.msk.ru/account/1404104361/", 1404104361)</f>
        <v>1404104361</v>
      </c>
      <c r="F593">
        <v>-173.19</v>
      </c>
    </row>
    <row r="594" spans="1:6" hidden="1" x14ac:dyDescent="0.25">
      <c r="A594" t="s">
        <v>238</v>
      </c>
      <c r="B594" t="s">
        <v>261</v>
      </c>
      <c r="E594" s="3">
        <f>HYPERLINK("https://sao.dolgi.msk.ru/account/1404103895/", 1404103895)</f>
        <v>1404103895</v>
      </c>
      <c r="F594">
        <v>0</v>
      </c>
    </row>
    <row r="595" spans="1:6" hidden="1" x14ac:dyDescent="0.25">
      <c r="A595" t="s">
        <v>238</v>
      </c>
      <c r="B595" t="s">
        <v>262</v>
      </c>
      <c r="E595" s="3">
        <f>HYPERLINK("https://sao.dolgi.msk.ru/account/1404104521/", 1404104521)</f>
        <v>1404104521</v>
      </c>
      <c r="F595">
        <v>0</v>
      </c>
    </row>
    <row r="596" spans="1:6" hidden="1" x14ac:dyDescent="0.25">
      <c r="A596" t="s">
        <v>238</v>
      </c>
      <c r="B596" t="s">
        <v>263</v>
      </c>
      <c r="E596" s="3">
        <f>HYPERLINK("https://sao.dolgi.msk.ru/account/1404103764/", 1404103764)</f>
        <v>1404103764</v>
      </c>
      <c r="F596">
        <v>-4306.09</v>
      </c>
    </row>
    <row r="597" spans="1:6" hidden="1" x14ac:dyDescent="0.25">
      <c r="A597" t="s">
        <v>238</v>
      </c>
      <c r="B597" t="s">
        <v>264</v>
      </c>
      <c r="E597" s="3">
        <f>HYPERLINK("https://sao.dolgi.msk.ru/account/1404104548/", 1404104548)</f>
        <v>1404104548</v>
      </c>
      <c r="F597">
        <v>-3856.78</v>
      </c>
    </row>
    <row r="598" spans="1:6" hidden="1" x14ac:dyDescent="0.25">
      <c r="A598" t="s">
        <v>238</v>
      </c>
      <c r="B598" t="s">
        <v>265</v>
      </c>
      <c r="E598" s="3">
        <f>HYPERLINK("https://sao.dolgi.msk.ru/account/1404104038/", 1404104038)</f>
        <v>1404104038</v>
      </c>
      <c r="F598">
        <v>-5634.54</v>
      </c>
    </row>
    <row r="599" spans="1:6" hidden="1" x14ac:dyDescent="0.25">
      <c r="A599" t="s">
        <v>238</v>
      </c>
      <c r="B599" t="s">
        <v>266</v>
      </c>
      <c r="E599" s="3">
        <f>HYPERLINK("https://sao.dolgi.msk.ru/account/1404103772/", 1404103772)</f>
        <v>1404103772</v>
      </c>
      <c r="F599">
        <v>-4511.25</v>
      </c>
    </row>
    <row r="600" spans="1:6" x14ac:dyDescent="0.25">
      <c r="A600" t="s">
        <v>238</v>
      </c>
      <c r="B600" t="s">
        <v>267</v>
      </c>
      <c r="C600" s="5" t="str">
        <f>" кв. "&amp;B600</f>
        <v xml:space="preserve"> кв. 260</v>
      </c>
      <c r="D600" s="5" t="str">
        <f>CONCATENATE(A600,C600)</f>
        <v>Беломорская ул., дом 5 к.2 кв. 260</v>
      </c>
      <c r="E600" s="3">
        <f>HYPERLINK("https://sao.dolgi.msk.ru/account/1404104388/", 1404104388)</f>
        <v>1404104388</v>
      </c>
      <c r="F600">
        <v>10278.23</v>
      </c>
    </row>
    <row r="601" spans="1:6" hidden="1" x14ac:dyDescent="0.25">
      <c r="A601" t="s">
        <v>238</v>
      </c>
      <c r="B601" t="s">
        <v>268</v>
      </c>
      <c r="E601" s="3">
        <f>HYPERLINK("https://sao.dolgi.msk.ru/account/1404104193/", 1404104193)</f>
        <v>1404104193</v>
      </c>
      <c r="F601">
        <v>-3172.83</v>
      </c>
    </row>
    <row r="602" spans="1:6" hidden="1" x14ac:dyDescent="0.25">
      <c r="A602" t="s">
        <v>238</v>
      </c>
      <c r="B602" t="s">
        <v>269</v>
      </c>
      <c r="E602" s="3">
        <f>HYPERLINK("https://sao.dolgi.msk.ru/account/1404104695/", 1404104695)</f>
        <v>1404104695</v>
      </c>
      <c r="F602">
        <v>-618.16999999999996</v>
      </c>
    </row>
    <row r="603" spans="1:6" hidden="1" x14ac:dyDescent="0.25">
      <c r="A603" t="s">
        <v>238</v>
      </c>
      <c r="B603" t="s">
        <v>270</v>
      </c>
      <c r="E603" s="3">
        <f>HYPERLINK("https://sao.dolgi.msk.ru/account/1404104839/", 1404104839)</f>
        <v>1404104839</v>
      </c>
      <c r="F603">
        <v>-3819.02</v>
      </c>
    </row>
    <row r="604" spans="1:6" hidden="1" x14ac:dyDescent="0.25">
      <c r="A604" t="s">
        <v>238</v>
      </c>
      <c r="B604" t="s">
        <v>271</v>
      </c>
      <c r="E604" s="3">
        <f>HYPERLINK("https://sao.dolgi.msk.ru/account/1404104708/", 1404104708)</f>
        <v>1404104708</v>
      </c>
      <c r="F604">
        <v>-3176.18</v>
      </c>
    </row>
    <row r="605" spans="1:6" hidden="1" x14ac:dyDescent="0.25">
      <c r="A605" t="s">
        <v>238</v>
      </c>
      <c r="B605" t="s">
        <v>272</v>
      </c>
      <c r="E605" s="3">
        <f>HYPERLINK("https://sao.dolgi.msk.ru/account/1404103908/", 1404103908)</f>
        <v>1404103908</v>
      </c>
      <c r="F605">
        <v>-5047.45</v>
      </c>
    </row>
    <row r="606" spans="1:6" hidden="1" x14ac:dyDescent="0.25">
      <c r="A606" t="s">
        <v>238</v>
      </c>
      <c r="B606" t="s">
        <v>273</v>
      </c>
      <c r="E606" s="3">
        <f>HYPERLINK("https://sao.dolgi.msk.ru/account/1404104396/", 1404104396)</f>
        <v>1404104396</v>
      </c>
      <c r="F606">
        <v>-2176.8000000000002</v>
      </c>
    </row>
    <row r="607" spans="1:6" hidden="1" x14ac:dyDescent="0.25">
      <c r="A607" t="s">
        <v>238</v>
      </c>
      <c r="B607" t="s">
        <v>274</v>
      </c>
      <c r="E607" s="3">
        <f>HYPERLINK("https://sao.dolgi.msk.ru/account/1404103916/", 1404103916)</f>
        <v>1404103916</v>
      </c>
      <c r="F607">
        <v>-4141.09</v>
      </c>
    </row>
    <row r="608" spans="1:6" hidden="1" x14ac:dyDescent="0.25">
      <c r="A608" t="s">
        <v>238</v>
      </c>
      <c r="B608" t="s">
        <v>275</v>
      </c>
      <c r="E608" s="3">
        <f>HYPERLINK("https://sao.dolgi.msk.ru/account/1404104847/", 1404104847)</f>
        <v>1404104847</v>
      </c>
      <c r="F608">
        <v>-3649.57</v>
      </c>
    </row>
    <row r="609" spans="1:6" hidden="1" x14ac:dyDescent="0.25">
      <c r="A609" t="s">
        <v>238</v>
      </c>
      <c r="B609" t="s">
        <v>276</v>
      </c>
      <c r="E609" s="3">
        <f>HYPERLINK("https://sao.dolgi.msk.ru/account/1404103799/", 1404103799)</f>
        <v>1404103799</v>
      </c>
      <c r="F609">
        <v>-2976.91</v>
      </c>
    </row>
    <row r="610" spans="1:6" hidden="1" x14ac:dyDescent="0.25">
      <c r="A610" t="s">
        <v>238</v>
      </c>
      <c r="B610" t="s">
        <v>277</v>
      </c>
      <c r="E610" s="3">
        <f>HYPERLINK("https://sao.dolgi.msk.ru/account/1404104206/", 1404104206)</f>
        <v>1404104206</v>
      </c>
      <c r="F610">
        <v>-4900.1400000000003</v>
      </c>
    </row>
    <row r="611" spans="1:6" hidden="1" x14ac:dyDescent="0.25">
      <c r="A611" t="s">
        <v>238</v>
      </c>
      <c r="B611" t="s">
        <v>278</v>
      </c>
      <c r="E611" s="3">
        <f>HYPERLINK("https://sao.dolgi.msk.ru/account/1404104046/", 1404104046)</f>
        <v>1404104046</v>
      </c>
      <c r="F611">
        <v>-2984.89</v>
      </c>
    </row>
    <row r="612" spans="1:6" hidden="1" x14ac:dyDescent="0.25">
      <c r="A612" t="s">
        <v>238</v>
      </c>
      <c r="B612" t="s">
        <v>279</v>
      </c>
      <c r="E612" s="3">
        <f>HYPERLINK("https://sao.dolgi.msk.ru/account/1404104556/", 1404104556)</f>
        <v>1404104556</v>
      </c>
      <c r="F612">
        <v>0</v>
      </c>
    </row>
    <row r="613" spans="1:6" hidden="1" x14ac:dyDescent="0.25">
      <c r="A613" t="s">
        <v>238</v>
      </c>
      <c r="B613" t="s">
        <v>280</v>
      </c>
      <c r="E613" s="3">
        <f>HYPERLINK("https://sao.dolgi.msk.ru/account/1404104716/", 1404104716)</f>
        <v>1404104716</v>
      </c>
      <c r="F613">
        <v>-6004.74</v>
      </c>
    </row>
    <row r="614" spans="1:6" hidden="1" x14ac:dyDescent="0.25">
      <c r="A614" t="s">
        <v>238</v>
      </c>
      <c r="B614" t="s">
        <v>281</v>
      </c>
      <c r="E614" s="3">
        <f>HYPERLINK("https://sao.dolgi.msk.ru/account/1404103924/", 1404103924)</f>
        <v>1404103924</v>
      </c>
      <c r="F614">
        <v>-2404.56</v>
      </c>
    </row>
    <row r="615" spans="1:6" hidden="1" x14ac:dyDescent="0.25">
      <c r="A615" t="s">
        <v>238</v>
      </c>
      <c r="B615" t="s">
        <v>282</v>
      </c>
      <c r="E615" s="3">
        <f>HYPERLINK("https://sao.dolgi.msk.ru/account/1404104855/", 1404104855)</f>
        <v>1404104855</v>
      </c>
      <c r="F615">
        <v>0</v>
      </c>
    </row>
    <row r="616" spans="1:6" hidden="1" x14ac:dyDescent="0.25">
      <c r="A616" t="s">
        <v>238</v>
      </c>
      <c r="B616" t="s">
        <v>283</v>
      </c>
      <c r="E616" s="3">
        <f>HYPERLINK("https://sao.dolgi.msk.ru/account/1404104863/", 1404104863)</f>
        <v>1404104863</v>
      </c>
      <c r="F616">
        <v>-2860.46</v>
      </c>
    </row>
    <row r="617" spans="1:6" hidden="1" x14ac:dyDescent="0.25">
      <c r="A617" t="s">
        <v>238</v>
      </c>
      <c r="B617" t="s">
        <v>284</v>
      </c>
      <c r="E617" s="3">
        <f>HYPERLINK("https://sao.dolgi.msk.ru/account/1404104409/", 1404104409)</f>
        <v>1404104409</v>
      </c>
      <c r="F617">
        <v>0</v>
      </c>
    </row>
    <row r="618" spans="1:6" x14ac:dyDescent="0.25">
      <c r="A618" t="s">
        <v>238</v>
      </c>
      <c r="B618" t="s">
        <v>285</v>
      </c>
      <c r="C618" s="5" t="str">
        <f>" кв. "&amp;B618</f>
        <v xml:space="preserve"> кв. 278</v>
      </c>
      <c r="D618" s="5" t="str">
        <f>CONCATENATE(A618,C618)</f>
        <v>Беломорская ул., дом 5 к.2 кв. 278</v>
      </c>
      <c r="E618" s="3">
        <f>HYPERLINK("https://sao.dolgi.msk.ru/account/1404104054/", 1404104054)</f>
        <v>1404104054</v>
      </c>
      <c r="F618">
        <v>4402.0600000000004</v>
      </c>
    </row>
    <row r="619" spans="1:6" hidden="1" x14ac:dyDescent="0.25">
      <c r="A619" t="s">
        <v>238</v>
      </c>
      <c r="B619" t="s">
        <v>286</v>
      </c>
      <c r="E619" s="3">
        <f>HYPERLINK("https://sao.dolgi.msk.ru/account/1404104724/", 1404104724)</f>
        <v>1404104724</v>
      </c>
      <c r="F619">
        <v>-5956.72</v>
      </c>
    </row>
    <row r="620" spans="1:6" hidden="1" x14ac:dyDescent="0.25">
      <c r="A620" t="s">
        <v>238</v>
      </c>
      <c r="B620" t="s">
        <v>287</v>
      </c>
      <c r="E620" s="3">
        <f>HYPERLINK("https://sao.dolgi.msk.ru/account/1404103932/", 1404103932)</f>
        <v>1404103932</v>
      </c>
      <c r="F620">
        <v>-6638.47</v>
      </c>
    </row>
    <row r="621" spans="1:6" hidden="1" x14ac:dyDescent="0.25">
      <c r="A621" t="s">
        <v>238</v>
      </c>
      <c r="B621" t="s">
        <v>288</v>
      </c>
      <c r="E621" s="3">
        <f>HYPERLINK("https://sao.dolgi.msk.ru/account/1404104732/", 1404104732)</f>
        <v>1404104732</v>
      </c>
      <c r="F621">
        <v>-2530.6999999999998</v>
      </c>
    </row>
    <row r="622" spans="1:6" hidden="1" x14ac:dyDescent="0.25">
      <c r="A622" t="s">
        <v>238</v>
      </c>
      <c r="B622" t="s">
        <v>289</v>
      </c>
      <c r="E622" s="3">
        <f>HYPERLINK("https://sao.dolgi.msk.ru/account/1404103959/", 1404103959)</f>
        <v>1404103959</v>
      </c>
      <c r="F622">
        <v>-4052.35</v>
      </c>
    </row>
    <row r="623" spans="1:6" hidden="1" x14ac:dyDescent="0.25">
      <c r="A623" t="s">
        <v>238</v>
      </c>
      <c r="B623" t="s">
        <v>290</v>
      </c>
      <c r="E623" s="3">
        <f>HYPERLINK("https://sao.dolgi.msk.ru/account/1404103801/", 1404103801)</f>
        <v>1404103801</v>
      </c>
      <c r="F623">
        <v>-8339.75</v>
      </c>
    </row>
    <row r="624" spans="1:6" hidden="1" x14ac:dyDescent="0.25">
      <c r="A624" t="s">
        <v>238</v>
      </c>
      <c r="B624" t="s">
        <v>291</v>
      </c>
      <c r="E624" s="3">
        <f>HYPERLINK("https://sao.dolgi.msk.ru/account/1404104759/", 1404104759)</f>
        <v>1404104759</v>
      </c>
      <c r="F624">
        <v>-5510.29</v>
      </c>
    </row>
    <row r="625" spans="1:6" hidden="1" x14ac:dyDescent="0.25">
      <c r="A625" t="s">
        <v>238</v>
      </c>
      <c r="B625" t="s">
        <v>292</v>
      </c>
      <c r="E625" s="3">
        <f>HYPERLINK("https://sao.dolgi.msk.ru/account/1404104417/", 1404104417)</f>
        <v>1404104417</v>
      </c>
      <c r="F625">
        <v>-4126.8500000000004</v>
      </c>
    </row>
    <row r="626" spans="1:6" hidden="1" x14ac:dyDescent="0.25">
      <c r="A626" t="s">
        <v>238</v>
      </c>
      <c r="B626" t="s">
        <v>293</v>
      </c>
      <c r="E626" s="3">
        <f>HYPERLINK("https://sao.dolgi.msk.ru/account/1404104871/", 1404104871)</f>
        <v>1404104871</v>
      </c>
      <c r="F626">
        <v>-15876.51</v>
      </c>
    </row>
    <row r="627" spans="1:6" hidden="1" x14ac:dyDescent="0.25">
      <c r="A627" t="s">
        <v>238</v>
      </c>
      <c r="B627" t="s">
        <v>294</v>
      </c>
      <c r="E627" s="3">
        <f>HYPERLINK("https://sao.dolgi.msk.ru/account/1404104425/", 1404104425)</f>
        <v>1404104425</v>
      </c>
      <c r="F627">
        <v>-2847.43</v>
      </c>
    </row>
    <row r="628" spans="1:6" hidden="1" x14ac:dyDescent="0.25">
      <c r="A628" t="s">
        <v>238</v>
      </c>
      <c r="B628" t="s">
        <v>295</v>
      </c>
      <c r="E628" s="3">
        <f>HYPERLINK("https://sao.dolgi.msk.ru/account/1404104062/", 1404104062)</f>
        <v>1404104062</v>
      </c>
      <c r="F628">
        <v>-2710.58</v>
      </c>
    </row>
    <row r="629" spans="1:6" hidden="1" x14ac:dyDescent="0.25">
      <c r="A629" t="s">
        <v>238</v>
      </c>
      <c r="B629" t="s">
        <v>296</v>
      </c>
      <c r="E629" s="3">
        <f>HYPERLINK("https://sao.dolgi.msk.ru/account/1404104767/", 1404104767)</f>
        <v>1404104767</v>
      </c>
      <c r="F629">
        <v>-2401.83</v>
      </c>
    </row>
    <row r="630" spans="1:6" x14ac:dyDescent="0.25">
      <c r="A630" t="s">
        <v>238</v>
      </c>
      <c r="B630" t="s">
        <v>297</v>
      </c>
      <c r="C630" s="5" t="str">
        <f>" кв. "&amp;B630</f>
        <v xml:space="preserve"> кв. 290</v>
      </c>
      <c r="D630" s="5" t="str">
        <f>CONCATENATE(A630,C630)</f>
        <v>Беломорская ул., дом 5 к.2 кв. 290</v>
      </c>
      <c r="E630" s="3">
        <f>HYPERLINK("https://sao.dolgi.msk.ru/account/1404104564/", 1404104564)</f>
        <v>1404104564</v>
      </c>
      <c r="F630">
        <v>10830.73</v>
      </c>
    </row>
    <row r="631" spans="1:6" hidden="1" x14ac:dyDescent="0.25">
      <c r="A631" t="s">
        <v>238</v>
      </c>
      <c r="B631" t="s">
        <v>298</v>
      </c>
      <c r="E631" s="3">
        <f>HYPERLINK("https://sao.dolgi.msk.ru/account/1404104775/", 1404104775)</f>
        <v>1404104775</v>
      </c>
      <c r="F631">
        <v>-1448.88</v>
      </c>
    </row>
    <row r="632" spans="1:6" hidden="1" x14ac:dyDescent="0.25">
      <c r="A632" t="s">
        <v>238</v>
      </c>
      <c r="B632" t="s">
        <v>299</v>
      </c>
      <c r="E632" s="3">
        <f>HYPERLINK("https://sao.dolgi.msk.ru/account/1404104433/", 1404104433)</f>
        <v>1404104433</v>
      </c>
      <c r="F632">
        <v>-6135.44</v>
      </c>
    </row>
    <row r="633" spans="1:6" hidden="1" x14ac:dyDescent="0.25">
      <c r="A633" t="s">
        <v>238</v>
      </c>
      <c r="B633" t="s">
        <v>300</v>
      </c>
      <c r="E633" s="3">
        <f>HYPERLINK("https://sao.dolgi.msk.ru/account/1404104572/", 1404104572)</f>
        <v>1404104572</v>
      </c>
      <c r="F633">
        <v>-6816.28</v>
      </c>
    </row>
    <row r="634" spans="1:6" hidden="1" x14ac:dyDescent="0.25">
      <c r="A634" t="s">
        <v>238</v>
      </c>
      <c r="B634" t="s">
        <v>301</v>
      </c>
      <c r="E634" s="3">
        <f>HYPERLINK("https://sao.dolgi.msk.ru/account/1404104441/", 1404104441)</f>
        <v>1404104441</v>
      </c>
      <c r="F634">
        <v>-4074.22</v>
      </c>
    </row>
    <row r="635" spans="1:6" hidden="1" x14ac:dyDescent="0.25">
      <c r="A635" t="s">
        <v>238</v>
      </c>
      <c r="B635" t="s">
        <v>302</v>
      </c>
      <c r="E635" s="3">
        <f>HYPERLINK("https://sao.dolgi.msk.ru/account/1404104783/", 1404104783)</f>
        <v>1404104783</v>
      </c>
      <c r="F635">
        <v>0</v>
      </c>
    </row>
    <row r="636" spans="1:6" hidden="1" x14ac:dyDescent="0.25">
      <c r="A636" t="s">
        <v>238</v>
      </c>
      <c r="B636" t="s">
        <v>303</v>
      </c>
      <c r="E636" s="3">
        <f>HYPERLINK("https://sao.dolgi.msk.ru/account/1404104898/", 1404104898)</f>
        <v>1404104898</v>
      </c>
      <c r="F636">
        <v>-3390</v>
      </c>
    </row>
    <row r="637" spans="1:6" hidden="1" x14ac:dyDescent="0.25">
      <c r="A637" t="s">
        <v>238</v>
      </c>
      <c r="B637" t="s">
        <v>304</v>
      </c>
      <c r="E637" s="3">
        <f>HYPERLINK("https://sao.dolgi.msk.ru/account/1404104468/", 1404104468)</f>
        <v>1404104468</v>
      </c>
      <c r="F637">
        <v>-4223.09</v>
      </c>
    </row>
    <row r="638" spans="1:6" hidden="1" x14ac:dyDescent="0.25">
      <c r="A638" t="s">
        <v>238</v>
      </c>
      <c r="B638" t="s">
        <v>305</v>
      </c>
      <c r="E638" s="3">
        <f>HYPERLINK("https://sao.dolgi.msk.ru/account/1404104214/", 1404104214)</f>
        <v>1404104214</v>
      </c>
      <c r="F638">
        <v>0</v>
      </c>
    </row>
    <row r="639" spans="1:6" hidden="1" x14ac:dyDescent="0.25">
      <c r="A639" t="s">
        <v>238</v>
      </c>
      <c r="B639" t="s">
        <v>306</v>
      </c>
      <c r="E639" s="3">
        <f>HYPERLINK("https://sao.dolgi.msk.ru/account/1404103967/", 1404103967)</f>
        <v>1404103967</v>
      </c>
      <c r="F639">
        <v>-2114.56</v>
      </c>
    </row>
    <row r="640" spans="1:6" hidden="1" x14ac:dyDescent="0.25">
      <c r="A640" t="s">
        <v>238</v>
      </c>
      <c r="B640" t="s">
        <v>307</v>
      </c>
      <c r="E640" s="3">
        <f>HYPERLINK("https://sao.dolgi.msk.ru/account/1404104599/", 1404104599)</f>
        <v>1404104599</v>
      </c>
      <c r="F640">
        <v>-5421.48</v>
      </c>
    </row>
    <row r="641" spans="1:6" hidden="1" x14ac:dyDescent="0.25">
      <c r="A641" t="s">
        <v>238</v>
      </c>
      <c r="B641" t="s">
        <v>308</v>
      </c>
      <c r="E641" s="3">
        <f>HYPERLINK("https://sao.dolgi.msk.ru/account/1404103828/", 1404103828)</f>
        <v>1404103828</v>
      </c>
      <c r="F641">
        <v>0</v>
      </c>
    </row>
    <row r="642" spans="1:6" hidden="1" x14ac:dyDescent="0.25">
      <c r="A642" t="s">
        <v>238</v>
      </c>
      <c r="B642" t="s">
        <v>309</v>
      </c>
      <c r="E642" s="3">
        <f>HYPERLINK("https://sao.dolgi.msk.ru/account/1404104089/", 1404104089)</f>
        <v>1404104089</v>
      </c>
      <c r="F642">
        <v>-3261.11</v>
      </c>
    </row>
    <row r="643" spans="1:6" hidden="1" x14ac:dyDescent="0.25">
      <c r="A643" t="s">
        <v>238</v>
      </c>
      <c r="B643" t="s">
        <v>310</v>
      </c>
      <c r="E643" s="3">
        <f>HYPERLINK("https://sao.dolgi.msk.ru/account/1404104097/", 1404104097)</f>
        <v>1404104097</v>
      </c>
      <c r="F643">
        <v>0</v>
      </c>
    </row>
    <row r="644" spans="1:6" hidden="1" x14ac:dyDescent="0.25">
      <c r="A644" t="s">
        <v>238</v>
      </c>
      <c r="B644" t="s">
        <v>311</v>
      </c>
      <c r="E644" s="3">
        <f>HYPERLINK("https://sao.dolgi.msk.ru/account/1404104601/", 1404104601)</f>
        <v>1404104601</v>
      </c>
      <c r="F644">
        <v>-2315.7399999999998</v>
      </c>
    </row>
    <row r="645" spans="1:6" hidden="1" x14ac:dyDescent="0.25">
      <c r="A645" t="s">
        <v>238</v>
      </c>
      <c r="B645" t="s">
        <v>312</v>
      </c>
      <c r="E645" s="3">
        <f>HYPERLINK("https://sao.dolgi.msk.ru/account/1404104919/", 1404104919)</f>
        <v>1404104919</v>
      </c>
      <c r="F645">
        <v>-4835.8500000000004</v>
      </c>
    </row>
    <row r="646" spans="1:6" hidden="1" x14ac:dyDescent="0.25">
      <c r="A646" t="s">
        <v>238</v>
      </c>
      <c r="B646" t="s">
        <v>313</v>
      </c>
      <c r="E646" s="3">
        <f>HYPERLINK("https://sao.dolgi.msk.ru/account/1404104791/", 1404104791)</f>
        <v>1404104791</v>
      </c>
      <c r="F646">
        <v>-16676.189999999999</v>
      </c>
    </row>
    <row r="647" spans="1:6" hidden="1" x14ac:dyDescent="0.25">
      <c r="A647" t="s">
        <v>238</v>
      </c>
      <c r="B647" t="s">
        <v>314</v>
      </c>
      <c r="E647" s="3">
        <f>HYPERLINK("https://sao.dolgi.msk.ru/account/1404104927/", 1404104927)</f>
        <v>1404104927</v>
      </c>
      <c r="F647">
        <v>-6548.76</v>
      </c>
    </row>
    <row r="648" spans="1:6" hidden="1" x14ac:dyDescent="0.25">
      <c r="A648" t="s">
        <v>238</v>
      </c>
      <c r="B648" t="s">
        <v>315</v>
      </c>
      <c r="E648" s="3">
        <f>HYPERLINK("https://sao.dolgi.msk.ru/account/1404103975/", 1404103975)</f>
        <v>1404103975</v>
      </c>
      <c r="F648">
        <v>-3871.34</v>
      </c>
    </row>
    <row r="649" spans="1:6" hidden="1" x14ac:dyDescent="0.25">
      <c r="A649" t="s">
        <v>238</v>
      </c>
      <c r="B649" t="s">
        <v>316</v>
      </c>
      <c r="E649" s="3">
        <f>HYPERLINK("https://sao.dolgi.msk.ru/account/1404104222/", 1404104222)</f>
        <v>1404104222</v>
      </c>
      <c r="F649">
        <v>-1357.71</v>
      </c>
    </row>
    <row r="650" spans="1:6" hidden="1" x14ac:dyDescent="0.25">
      <c r="A650" t="s">
        <v>238</v>
      </c>
      <c r="B650" t="s">
        <v>317</v>
      </c>
      <c r="E650" s="3">
        <f>HYPERLINK("https://sao.dolgi.msk.ru/account/1404104935/", 1404104935)</f>
        <v>1404104935</v>
      </c>
      <c r="F650">
        <v>-5433.54</v>
      </c>
    </row>
    <row r="651" spans="1:6" hidden="1" x14ac:dyDescent="0.25">
      <c r="A651" t="s">
        <v>238</v>
      </c>
      <c r="B651" t="s">
        <v>318</v>
      </c>
      <c r="E651" s="3">
        <f>HYPERLINK("https://sao.dolgi.msk.ru/account/1404104476/", 1404104476)</f>
        <v>1404104476</v>
      </c>
      <c r="F651">
        <v>-2344.3000000000002</v>
      </c>
    </row>
    <row r="652" spans="1:6" hidden="1" x14ac:dyDescent="0.25">
      <c r="A652" t="s">
        <v>238</v>
      </c>
      <c r="B652" t="s">
        <v>319</v>
      </c>
      <c r="E652" s="3">
        <f>HYPERLINK("https://sao.dolgi.msk.ru/account/1404103983/", 1404103983)</f>
        <v>1404103983</v>
      </c>
      <c r="F652">
        <v>-795.61</v>
      </c>
    </row>
    <row r="653" spans="1:6" hidden="1" x14ac:dyDescent="0.25">
      <c r="A653" t="s">
        <v>320</v>
      </c>
      <c r="B653" t="s">
        <v>321</v>
      </c>
      <c r="E653" s="3">
        <f>HYPERLINK("https://sao.dolgi.msk.ru/account/1404105591/", 1404105591)</f>
        <v>1404105591</v>
      </c>
      <c r="F653">
        <v>-7604.13</v>
      </c>
    </row>
    <row r="654" spans="1:6" hidden="1" x14ac:dyDescent="0.25">
      <c r="A654" t="s">
        <v>320</v>
      </c>
      <c r="B654" t="s">
        <v>322</v>
      </c>
      <c r="E654" s="3">
        <f>HYPERLINK("https://sao.dolgi.msk.ru/account/1404104943/", 1404104943)</f>
        <v>1404104943</v>
      </c>
      <c r="F654">
        <v>0</v>
      </c>
    </row>
    <row r="655" spans="1:6" hidden="1" x14ac:dyDescent="0.25">
      <c r="A655" t="s">
        <v>320</v>
      </c>
      <c r="B655" t="s">
        <v>323</v>
      </c>
      <c r="E655" s="3">
        <f>HYPERLINK("https://sao.dolgi.msk.ru/account/1404105014/", 1404105014)</f>
        <v>1404105014</v>
      </c>
      <c r="F655">
        <v>-5566.53</v>
      </c>
    </row>
    <row r="656" spans="1:6" x14ac:dyDescent="0.25">
      <c r="A656" t="s">
        <v>320</v>
      </c>
      <c r="B656" t="s">
        <v>324</v>
      </c>
      <c r="C656" s="5" t="str">
        <f>" кв. "&amp;B656</f>
        <v xml:space="preserve"> кв. 323</v>
      </c>
      <c r="D656" s="5" t="str">
        <f>CONCATENATE(A656,C656)</f>
        <v>Беломорская ул., дом 5 к.3 кв. 323</v>
      </c>
      <c r="E656" s="3">
        <f>HYPERLINK("https://sao.dolgi.msk.ru/account/1404105882/", 1404105882)</f>
        <v>1404105882</v>
      </c>
      <c r="F656">
        <v>18648.62</v>
      </c>
    </row>
    <row r="657" spans="1:6" hidden="1" x14ac:dyDescent="0.25">
      <c r="A657" t="s">
        <v>320</v>
      </c>
      <c r="B657" t="s">
        <v>325</v>
      </c>
      <c r="E657" s="3">
        <f>HYPERLINK("https://sao.dolgi.msk.ru/account/1404105604/", 1404105604)</f>
        <v>1404105604</v>
      </c>
      <c r="F657">
        <v>-2067.71</v>
      </c>
    </row>
    <row r="658" spans="1:6" hidden="1" x14ac:dyDescent="0.25">
      <c r="A658" t="s">
        <v>320</v>
      </c>
      <c r="B658" t="s">
        <v>326</v>
      </c>
      <c r="E658" s="3">
        <f>HYPERLINK("https://sao.dolgi.msk.ru/account/1404105145/", 1404105145)</f>
        <v>1404105145</v>
      </c>
      <c r="F658">
        <v>-1865.48</v>
      </c>
    </row>
    <row r="659" spans="1:6" x14ac:dyDescent="0.25">
      <c r="A659" t="s">
        <v>320</v>
      </c>
      <c r="B659" t="s">
        <v>327</v>
      </c>
      <c r="C659" s="5" t="str">
        <f>" кв. "&amp;B659</f>
        <v xml:space="preserve"> кв. 326</v>
      </c>
      <c r="D659" s="5" t="str">
        <f>CONCATENATE(A659,C659)</f>
        <v>Беломорская ул., дом 5 к.3 кв. 326</v>
      </c>
      <c r="E659" s="3">
        <f>HYPERLINK("https://sao.dolgi.msk.ru/account/1404105276/", 1404105276)</f>
        <v>1404105276</v>
      </c>
      <c r="F659">
        <v>1587.93</v>
      </c>
    </row>
    <row r="660" spans="1:6" hidden="1" x14ac:dyDescent="0.25">
      <c r="A660" t="s">
        <v>320</v>
      </c>
      <c r="B660" t="s">
        <v>328</v>
      </c>
      <c r="E660" s="3">
        <f>HYPERLINK("https://sao.dolgi.msk.ru/account/1404105612/", 1404105612)</f>
        <v>1404105612</v>
      </c>
      <c r="F660">
        <v>-5656.08</v>
      </c>
    </row>
    <row r="661" spans="1:6" hidden="1" x14ac:dyDescent="0.25">
      <c r="A661" t="s">
        <v>320</v>
      </c>
      <c r="B661" t="s">
        <v>329</v>
      </c>
      <c r="E661" s="3">
        <f>HYPERLINK("https://sao.dolgi.msk.ru/account/1404105153/", 1404105153)</f>
        <v>1404105153</v>
      </c>
      <c r="F661">
        <v>-4295.46</v>
      </c>
    </row>
    <row r="662" spans="1:6" hidden="1" x14ac:dyDescent="0.25">
      <c r="A662" t="s">
        <v>320</v>
      </c>
      <c r="B662" t="s">
        <v>330</v>
      </c>
      <c r="E662" s="3">
        <f>HYPERLINK("https://sao.dolgi.msk.ru/account/1404105903/", 1404105903)</f>
        <v>1404105903</v>
      </c>
      <c r="F662">
        <v>-5377.21</v>
      </c>
    </row>
    <row r="663" spans="1:6" hidden="1" x14ac:dyDescent="0.25">
      <c r="A663" t="s">
        <v>320</v>
      </c>
      <c r="B663" t="s">
        <v>331</v>
      </c>
      <c r="E663" s="3">
        <f>HYPERLINK("https://sao.dolgi.msk.ru/account/1404105022/", 1404105022)</f>
        <v>1404105022</v>
      </c>
      <c r="F663">
        <v>-4022.45</v>
      </c>
    </row>
    <row r="664" spans="1:6" hidden="1" x14ac:dyDescent="0.25">
      <c r="A664" t="s">
        <v>320</v>
      </c>
      <c r="B664" t="s">
        <v>332</v>
      </c>
      <c r="E664" s="3">
        <f>HYPERLINK("https://sao.dolgi.msk.ru/account/1404105049/", 1404105049)</f>
        <v>1404105049</v>
      </c>
      <c r="F664">
        <v>-4090.43</v>
      </c>
    </row>
    <row r="665" spans="1:6" hidden="1" x14ac:dyDescent="0.25">
      <c r="A665" t="s">
        <v>320</v>
      </c>
      <c r="B665" t="s">
        <v>333</v>
      </c>
      <c r="E665" s="3">
        <f>HYPERLINK("https://sao.dolgi.msk.ru/account/1404105583/", 1404105583)</f>
        <v>1404105583</v>
      </c>
      <c r="F665">
        <v>-4023.59</v>
      </c>
    </row>
    <row r="666" spans="1:6" hidden="1" x14ac:dyDescent="0.25">
      <c r="A666" t="s">
        <v>320</v>
      </c>
      <c r="B666" t="s">
        <v>334</v>
      </c>
      <c r="E666" s="3">
        <f>HYPERLINK("https://sao.dolgi.msk.ru/account/1404105161/", 1404105161)</f>
        <v>1404105161</v>
      </c>
      <c r="F666">
        <v>-3871.43</v>
      </c>
    </row>
    <row r="667" spans="1:6" hidden="1" x14ac:dyDescent="0.25">
      <c r="A667" t="s">
        <v>320</v>
      </c>
      <c r="B667" t="s">
        <v>335</v>
      </c>
      <c r="E667" s="3">
        <f>HYPERLINK("https://sao.dolgi.msk.ru/account/1404105743/", 1404105743)</f>
        <v>1404105743</v>
      </c>
      <c r="F667">
        <v>-3214.27</v>
      </c>
    </row>
    <row r="668" spans="1:6" x14ac:dyDescent="0.25">
      <c r="A668" t="s">
        <v>320</v>
      </c>
      <c r="B668" t="s">
        <v>336</v>
      </c>
      <c r="C668" s="5" t="str">
        <f>" кв. "&amp;B668</f>
        <v xml:space="preserve"> кв. 335</v>
      </c>
      <c r="D668" s="5" t="str">
        <f>CONCATENATE(A668,C668)</f>
        <v>Беломорская ул., дом 5 к.3 кв. 335</v>
      </c>
      <c r="E668" s="3">
        <f>HYPERLINK("https://sao.dolgi.msk.ru/account/1404105284/", 1404105284)</f>
        <v>1404105284</v>
      </c>
      <c r="F668">
        <v>13906.42</v>
      </c>
    </row>
    <row r="669" spans="1:6" hidden="1" x14ac:dyDescent="0.25">
      <c r="A669" t="s">
        <v>320</v>
      </c>
      <c r="B669" t="s">
        <v>337</v>
      </c>
      <c r="E669" s="3">
        <f>HYPERLINK("https://sao.dolgi.msk.ru/account/1404105639/", 1404105639)</f>
        <v>1404105639</v>
      </c>
      <c r="F669">
        <v>-3100.97</v>
      </c>
    </row>
    <row r="670" spans="1:6" hidden="1" x14ac:dyDescent="0.25">
      <c r="A670" t="s">
        <v>320</v>
      </c>
      <c r="B670" t="s">
        <v>338</v>
      </c>
      <c r="E670" s="3">
        <f>HYPERLINK("https://sao.dolgi.msk.ru/account/1404105911/", 1404105911)</f>
        <v>1404105911</v>
      </c>
      <c r="F670">
        <v>-581.51</v>
      </c>
    </row>
    <row r="671" spans="1:6" x14ac:dyDescent="0.25">
      <c r="A671" t="s">
        <v>320</v>
      </c>
      <c r="B671" t="s">
        <v>339</v>
      </c>
      <c r="C671" s="5" t="str">
        <f>" кв. "&amp;B671</f>
        <v xml:space="preserve"> кв. 338</v>
      </c>
      <c r="D671" s="5" t="str">
        <f>CONCATENATE(A671,C671)</f>
        <v>Беломорская ул., дом 5 к.3 кв. 338</v>
      </c>
      <c r="E671" s="3">
        <f>HYPERLINK("https://sao.dolgi.msk.ru/account/1404105938/", 1404105938)</f>
        <v>1404105938</v>
      </c>
      <c r="F671">
        <v>11296.25</v>
      </c>
    </row>
    <row r="672" spans="1:6" hidden="1" x14ac:dyDescent="0.25">
      <c r="A672" t="s">
        <v>320</v>
      </c>
      <c r="B672" t="s">
        <v>340</v>
      </c>
      <c r="E672" s="3">
        <f>HYPERLINK("https://sao.dolgi.msk.ru/account/1404105946/", 1404105946)</f>
        <v>1404105946</v>
      </c>
      <c r="F672">
        <v>-4084.09</v>
      </c>
    </row>
    <row r="673" spans="1:6" hidden="1" x14ac:dyDescent="0.25">
      <c r="A673" t="s">
        <v>320</v>
      </c>
      <c r="B673" t="s">
        <v>341</v>
      </c>
      <c r="E673" s="3">
        <f>HYPERLINK("https://sao.dolgi.msk.ru/account/1404105954/", 1404105954)</f>
        <v>1404105954</v>
      </c>
      <c r="F673">
        <v>0</v>
      </c>
    </row>
    <row r="674" spans="1:6" hidden="1" x14ac:dyDescent="0.25">
      <c r="A674" t="s">
        <v>320</v>
      </c>
      <c r="B674" t="s">
        <v>342</v>
      </c>
      <c r="E674" s="3">
        <f>HYPERLINK("https://sao.dolgi.msk.ru/account/1404105962/", 1404105962)</f>
        <v>1404105962</v>
      </c>
      <c r="F674">
        <v>-162.22999999999999</v>
      </c>
    </row>
    <row r="675" spans="1:6" hidden="1" x14ac:dyDescent="0.25">
      <c r="A675" t="s">
        <v>320</v>
      </c>
      <c r="B675" t="s">
        <v>343</v>
      </c>
      <c r="E675" s="3">
        <f>HYPERLINK("https://sao.dolgi.msk.ru/account/1404105436/", 1404105436)</f>
        <v>1404105436</v>
      </c>
      <c r="F675">
        <v>0</v>
      </c>
    </row>
    <row r="676" spans="1:6" hidden="1" x14ac:dyDescent="0.25">
      <c r="A676" t="s">
        <v>320</v>
      </c>
      <c r="B676" t="s">
        <v>344</v>
      </c>
      <c r="E676" s="3">
        <f>HYPERLINK("https://sao.dolgi.msk.ru/account/1404105751/", 1404105751)</f>
        <v>1404105751</v>
      </c>
      <c r="F676">
        <v>-2541.02</v>
      </c>
    </row>
    <row r="677" spans="1:6" hidden="1" x14ac:dyDescent="0.25">
      <c r="A677" t="s">
        <v>320</v>
      </c>
      <c r="B677" t="s">
        <v>345</v>
      </c>
      <c r="E677" s="3">
        <f>HYPERLINK("https://sao.dolgi.msk.ru/account/1404105647/", 1404105647)</f>
        <v>1404105647</v>
      </c>
      <c r="F677">
        <v>0</v>
      </c>
    </row>
    <row r="678" spans="1:6" hidden="1" x14ac:dyDescent="0.25">
      <c r="A678" t="s">
        <v>320</v>
      </c>
      <c r="B678" t="s">
        <v>346</v>
      </c>
      <c r="E678" s="3">
        <f>HYPERLINK("https://sao.dolgi.msk.ru/account/1404105057/", 1404105057)</f>
        <v>1404105057</v>
      </c>
      <c r="F678">
        <v>-1926.43</v>
      </c>
    </row>
    <row r="679" spans="1:6" hidden="1" x14ac:dyDescent="0.25">
      <c r="A679" t="s">
        <v>320</v>
      </c>
      <c r="B679" t="s">
        <v>347</v>
      </c>
      <c r="E679" s="3">
        <f>HYPERLINK("https://sao.dolgi.msk.ru/account/1404105065/", 1404105065)</f>
        <v>1404105065</v>
      </c>
      <c r="F679">
        <v>-3862.32</v>
      </c>
    </row>
    <row r="680" spans="1:6" x14ac:dyDescent="0.25">
      <c r="A680" t="s">
        <v>320</v>
      </c>
      <c r="B680" t="s">
        <v>348</v>
      </c>
      <c r="C680" s="5" t="str">
        <f>" кв. "&amp;B680</f>
        <v xml:space="preserve"> кв. 347</v>
      </c>
      <c r="D680" s="5" t="str">
        <f>CONCATENATE(A680,C680)</f>
        <v>Беломорская ул., дом 5 к.3 кв. 347</v>
      </c>
      <c r="E680" s="3">
        <f>HYPERLINK("https://sao.dolgi.msk.ru/account/1404105444/", 1404105444)</f>
        <v>1404105444</v>
      </c>
      <c r="F680">
        <v>1003.48</v>
      </c>
    </row>
    <row r="681" spans="1:6" hidden="1" x14ac:dyDescent="0.25">
      <c r="A681" t="s">
        <v>320</v>
      </c>
      <c r="B681" t="s">
        <v>349</v>
      </c>
      <c r="E681" s="3">
        <f>HYPERLINK("https://sao.dolgi.msk.ru/account/1404105655/", 1404105655)</f>
        <v>1404105655</v>
      </c>
      <c r="F681">
        <v>0</v>
      </c>
    </row>
    <row r="682" spans="1:6" hidden="1" x14ac:dyDescent="0.25">
      <c r="A682" t="s">
        <v>320</v>
      </c>
      <c r="B682" t="s">
        <v>350</v>
      </c>
      <c r="E682" s="3">
        <f>HYPERLINK("https://sao.dolgi.msk.ru/account/1404104951/", 1404104951)</f>
        <v>1404104951</v>
      </c>
      <c r="F682">
        <v>-1236.1300000000001</v>
      </c>
    </row>
    <row r="683" spans="1:6" hidden="1" x14ac:dyDescent="0.25">
      <c r="A683" t="s">
        <v>320</v>
      </c>
      <c r="B683" t="s">
        <v>350</v>
      </c>
      <c r="E683" s="3">
        <f>HYPERLINK("https://sao.dolgi.msk.ru/account/1404106068/", 1404106068)</f>
        <v>1404106068</v>
      </c>
      <c r="F683">
        <v>-1236.1300000000001</v>
      </c>
    </row>
    <row r="684" spans="1:6" hidden="1" x14ac:dyDescent="0.25">
      <c r="A684" t="s">
        <v>320</v>
      </c>
      <c r="B684" t="s">
        <v>351</v>
      </c>
      <c r="E684" s="3">
        <f>HYPERLINK("https://sao.dolgi.msk.ru/account/1404105188/", 1404105188)</f>
        <v>1404105188</v>
      </c>
      <c r="F684">
        <v>-250.68</v>
      </c>
    </row>
    <row r="685" spans="1:6" hidden="1" x14ac:dyDescent="0.25">
      <c r="A685" t="s">
        <v>320</v>
      </c>
      <c r="B685" t="s">
        <v>352</v>
      </c>
      <c r="E685" s="3">
        <f>HYPERLINK("https://sao.dolgi.msk.ru/account/1404105292/", 1404105292)</f>
        <v>1404105292</v>
      </c>
      <c r="F685">
        <v>-4871.46</v>
      </c>
    </row>
    <row r="686" spans="1:6" hidden="1" x14ac:dyDescent="0.25">
      <c r="A686" t="s">
        <v>320</v>
      </c>
      <c r="B686" t="s">
        <v>353</v>
      </c>
      <c r="E686" s="3">
        <f>HYPERLINK("https://sao.dolgi.msk.ru/account/1404105452/", 1404105452)</f>
        <v>1404105452</v>
      </c>
      <c r="F686">
        <v>-6689.05</v>
      </c>
    </row>
    <row r="687" spans="1:6" hidden="1" x14ac:dyDescent="0.25">
      <c r="A687" t="s">
        <v>320</v>
      </c>
      <c r="B687" t="s">
        <v>354</v>
      </c>
      <c r="E687" s="3">
        <f>HYPERLINK("https://sao.dolgi.msk.ru/account/1404105305/", 1404105305)</f>
        <v>1404105305</v>
      </c>
      <c r="F687">
        <v>-1857.89</v>
      </c>
    </row>
    <row r="688" spans="1:6" hidden="1" x14ac:dyDescent="0.25">
      <c r="A688" t="s">
        <v>320</v>
      </c>
      <c r="B688" t="s">
        <v>355</v>
      </c>
      <c r="E688" s="3">
        <f>HYPERLINK("https://sao.dolgi.msk.ru/account/1404104978/", 1404104978)</f>
        <v>1404104978</v>
      </c>
      <c r="F688">
        <v>-3611.08</v>
      </c>
    </row>
    <row r="689" spans="1:6" hidden="1" x14ac:dyDescent="0.25">
      <c r="A689" t="s">
        <v>320</v>
      </c>
      <c r="B689" t="s">
        <v>356</v>
      </c>
      <c r="E689" s="3">
        <f>HYPERLINK("https://sao.dolgi.msk.ru/account/1404105778/", 1404105778)</f>
        <v>1404105778</v>
      </c>
      <c r="F689">
        <v>-2049.2399999999998</v>
      </c>
    </row>
    <row r="690" spans="1:6" x14ac:dyDescent="0.25">
      <c r="A690" t="s">
        <v>320</v>
      </c>
      <c r="B690" t="s">
        <v>357</v>
      </c>
      <c r="C690" s="5" t="str">
        <f>" кв. "&amp;B690</f>
        <v xml:space="preserve"> кв. 356</v>
      </c>
      <c r="D690" s="5" t="str">
        <f>CONCATENATE(A690,C690)</f>
        <v>Беломорская ул., дом 5 к.3 кв. 356</v>
      </c>
      <c r="E690" s="3">
        <f>HYPERLINK("https://sao.dolgi.msk.ru/account/1404105196/", 1404105196)</f>
        <v>1404105196</v>
      </c>
      <c r="F690">
        <v>292.79000000000002</v>
      </c>
    </row>
    <row r="691" spans="1:6" hidden="1" x14ac:dyDescent="0.25">
      <c r="A691" t="s">
        <v>320</v>
      </c>
      <c r="B691" t="s">
        <v>358</v>
      </c>
      <c r="E691" s="3">
        <f>HYPERLINK("https://sao.dolgi.msk.ru/account/1404105313/", 1404105313)</f>
        <v>1404105313</v>
      </c>
      <c r="F691">
        <v>-22.2</v>
      </c>
    </row>
    <row r="692" spans="1:6" hidden="1" x14ac:dyDescent="0.25">
      <c r="A692" t="s">
        <v>320</v>
      </c>
      <c r="B692" t="s">
        <v>359</v>
      </c>
      <c r="E692" s="3">
        <f>HYPERLINK("https://sao.dolgi.msk.ru/account/1404105663/", 1404105663)</f>
        <v>1404105663</v>
      </c>
      <c r="F692">
        <v>-6331.68</v>
      </c>
    </row>
    <row r="693" spans="1:6" hidden="1" x14ac:dyDescent="0.25">
      <c r="A693" t="s">
        <v>320</v>
      </c>
      <c r="B693" t="s">
        <v>360</v>
      </c>
      <c r="E693" s="3">
        <f>HYPERLINK("https://sao.dolgi.msk.ru/account/1404105479/", 1404105479)</f>
        <v>1404105479</v>
      </c>
      <c r="F693">
        <v>-3641.77</v>
      </c>
    </row>
    <row r="694" spans="1:6" hidden="1" x14ac:dyDescent="0.25">
      <c r="A694" t="s">
        <v>320</v>
      </c>
      <c r="B694" t="s">
        <v>361</v>
      </c>
      <c r="E694" s="3">
        <f>HYPERLINK("https://sao.dolgi.msk.ru/account/1404105487/", 1404105487)</f>
        <v>1404105487</v>
      </c>
      <c r="F694">
        <v>-2222.9299999999998</v>
      </c>
    </row>
    <row r="695" spans="1:6" hidden="1" x14ac:dyDescent="0.25">
      <c r="A695" t="s">
        <v>320</v>
      </c>
      <c r="B695" t="s">
        <v>362</v>
      </c>
      <c r="E695" s="3">
        <f>HYPERLINK("https://sao.dolgi.msk.ru/account/1404105786/", 1404105786)</f>
        <v>1404105786</v>
      </c>
      <c r="F695">
        <v>-5640.9</v>
      </c>
    </row>
    <row r="696" spans="1:6" hidden="1" x14ac:dyDescent="0.25">
      <c r="A696" t="s">
        <v>320</v>
      </c>
      <c r="B696" t="s">
        <v>363</v>
      </c>
      <c r="E696" s="3">
        <f>HYPERLINK("https://sao.dolgi.msk.ru/account/1404105794/", 1404105794)</f>
        <v>1404105794</v>
      </c>
      <c r="F696">
        <v>-4748.37</v>
      </c>
    </row>
    <row r="697" spans="1:6" x14ac:dyDescent="0.25">
      <c r="A697" t="s">
        <v>320</v>
      </c>
      <c r="B697" t="s">
        <v>364</v>
      </c>
      <c r="C697" s="5" t="str">
        <f>" кв. "&amp;B697</f>
        <v xml:space="preserve"> кв. 363</v>
      </c>
      <c r="D697" s="5" t="str">
        <f>CONCATENATE(A697,C697)</f>
        <v>Беломорская ул., дом 5 к.3 кв. 363</v>
      </c>
      <c r="E697" s="3">
        <f>HYPERLINK("https://sao.dolgi.msk.ru/account/1404105321/", 1404105321)</f>
        <v>1404105321</v>
      </c>
      <c r="F697">
        <v>5496.53</v>
      </c>
    </row>
    <row r="698" spans="1:6" hidden="1" x14ac:dyDescent="0.25">
      <c r="A698" t="s">
        <v>320</v>
      </c>
      <c r="B698" t="s">
        <v>365</v>
      </c>
      <c r="E698" s="3">
        <f>HYPERLINK("https://sao.dolgi.msk.ru/account/1404105671/", 1404105671)</f>
        <v>1404105671</v>
      </c>
      <c r="F698">
        <v>-6018.67</v>
      </c>
    </row>
    <row r="699" spans="1:6" hidden="1" x14ac:dyDescent="0.25">
      <c r="A699" t="s">
        <v>320</v>
      </c>
      <c r="B699" t="s">
        <v>366</v>
      </c>
      <c r="E699" s="3">
        <f>HYPERLINK("https://sao.dolgi.msk.ru/account/1404105348/", 1404105348)</f>
        <v>1404105348</v>
      </c>
      <c r="F699">
        <v>-346.31</v>
      </c>
    </row>
    <row r="700" spans="1:6" hidden="1" x14ac:dyDescent="0.25">
      <c r="A700" t="s">
        <v>320</v>
      </c>
      <c r="B700" t="s">
        <v>367</v>
      </c>
      <c r="E700" s="3">
        <f>HYPERLINK("https://sao.dolgi.msk.ru/account/1404105807/", 1404105807)</f>
        <v>1404105807</v>
      </c>
      <c r="F700">
        <v>-1576.01</v>
      </c>
    </row>
    <row r="701" spans="1:6" hidden="1" x14ac:dyDescent="0.25">
      <c r="A701" t="s">
        <v>320</v>
      </c>
      <c r="B701" t="s">
        <v>368</v>
      </c>
      <c r="E701" s="3">
        <f>HYPERLINK("https://sao.dolgi.msk.ru/account/1404105356/", 1404105356)</f>
        <v>1404105356</v>
      </c>
      <c r="F701">
        <v>-3113.67</v>
      </c>
    </row>
    <row r="702" spans="1:6" hidden="1" x14ac:dyDescent="0.25">
      <c r="A702" t="s">
        <v>320</v>
      </c>
      <c r="B702" t="s">
        <v>369</v>
      </c>
      <c r="E702" s="3">
        <f>HYPERLINK("https://sao.dolgi.msk.ru/account/1404105989/", 1404105989)</f>
        <v>1404105989</v>
      </c>
      <c r="F702">
        <v>-3886.62</v>
      </c>
    </row>
    <row r="703" spans="1:6" hidden="1" x14ac:dyDescent="0.25">
      <c r="A703" t="s">
        <v>320</v>
      </c>
      <c r="B703" t="s">
        <v>370</v>
      </c>
      <c r="E703" s="3">
        <f>HYPERLINK("https://sao.dolgi.msk.ru/account/1404105815/", 1404105815)</f>
        <v>1404105815</v>
      </c>
      <c r="F703">
        <v>-3520.18</v>
      </c>
    </row>
    <row r="704" spans="1:6" hidden="1" x14ac:dyDescent="0.25">
      <c r="A704" t="s">
        <v>320</v>
      </c>
      <c r="B704" t="s">
        <v>371</v>
      </c>
      <c r="E704" s="3">
        <f>HYPERLINK("https://sao.dolgi.msk.ru/account/1404105698/", 1404105698)</f>
        <v>1404105698</v>
      </c>
      <c r="F704">
        <v>-5315.39</v>
      </c>
    </row>
    <row r="705" spans="1:6" hidden="1" x14ac:dyDescent="0.25">
      <c r="A705" t="s">
        <v>320</v>
      </c>
      <c r="B705" t="s">
        <v>372</v>
      </c>
      <c r="E705" s="3">
        <f>HYPERLINK("https://sao.dolgi.msk.ru/account/1404105209/", 1404105209)</f>
        <v>1404105209</v>
      </c>
      <c r="F705">
        <v>-4161.96</v>
      </c>
    </row>
    <row r="706" spans="1:6" hidden="1" x14ac:dyDescent="0.25">
      <c r="A706" t="s">
        <v>320</v>
      </c>
      <c r="B706" t="s">
        <v>373</v>
      </c>
      <c r="E706" s="3">
        <f>HYPERLINK("https://sao.dolgi.msk.ru/account/1404105823/", 1404105823)</f>
        <v>1404105823</v>
      </c>
      <c r="F706">
        <v>-4615.7700000000004</v>
      </c>
    </row>
    <row r="707" spans="1:6" hidden="1" x14ac:dyDescent="0.25">
      <c r="A707" t="s">
        <v>320</v>
      </c>
      <c r="B707" t="s">
        <v>374</v>
      </c>
      <c r="E707" s="3">
        <f>HYPERLINK("https://sao.dolgi.msk.ru/account/1404105073/", 1404105073)</f>
        <v>1404105073</v>
      </c>
      <c r="F707">
        <v>-2329.8000000000002</v>
      </c>
    </row>
    <row r="708" spans="1:6" hidden="1" x14ac:dyDescent="0.25">
      <c r="A708" t="s">
        <v>320</v>
      </c>
      <c r="B708" t="s">
        <v>375</v>
      </c>
      <c r="E708" s="3">
        <f>HYPERLINK("https://sao.dolgi.msk.ru/account/1404105495/", 1404105495)</f>
        <v>1404105495</v>
      </c>
      <c r="F708">
        <v>-2393.4</v>
      </c>
    </row>
    <row r="709" spans="1:6" hidden="1" x14ac:dyDescent="0.25">
      <c r="A709" t="s">
        <v>320</v>
      </c>
      <c r="B709" t="s">
        <v>376</v>
      </c>
      <c r="E709" s="3">
        <f>HYPERLINK("https://sao.dolgi.msk.ru/account/1404105997/", 1404105997)</f>
        <v>1404105997</v>
      </c>
      <c r="F709">
        <v>-2993.66</v>
      </c>
    </row>
    <row r="710" spans="1:6" hidden="1" x14ac:dyDescent="0.25">
      <c r="A710" t="s">
        <v>320</v>
      </c>
      <c r="B710" t="s">
        <v>377</v>
      </c>
      <c r="E710" s="3">
        <f>HYPERLINK("https://sao.dolgi.msk.ru/account/1404105364/", 1404105364)</f>
        <v>1404105364</v>
      </c>
      <c r="F710">
        <v>-3414.1</v>
      </c>
    </row>
    <row r="711" spans="1:6" hidden="1" x14ac:dyDescent="0.25">
      <c r="A711" t="s">
        <v>320</v>
      </c>
      <c r="B711" t="s">
        <v>378</v>
      </c>
      <c r="E711" s="3">
        <f>HYPERLINK("https://sao.dolgi.msk.ru/account/1404105081/", 1404105081)</f>
        <v>1404105081</v>
      </c>
      <c r="F711">
        <v>0</v>
      </c>
    </row>
    <row r="712" spans="1:6" hidden="1" x14ac:dyDescent="0.25">
      <c r="A712" t="s">
        <v>320</v>
      </c>
      <c r="B712" t="s">
        <v>379</v>
      </c>
      <c r="E712" s="3">
        <f>HYPERLINK("https://sao.dolgi.msk.ru/account/1404106009/", 1404106009)</f>
        <v>1404106009</v>
      </c>
      <c r="F712">
        <v>-3708.66</v>
      </c>
    </row>
    <row r="713" spans="1:6" hidden="1" x14ac:dyDescent="0.25">
      <c r="A713" t="s">
        <v>320</v>
      </c>
      <c r="B713" t="s">
        <v>380</v>
      </c>
      <c r="E713" s="3">
        <f>HYPERLINK("https://sao.dolgi.msk.ru/account/1404104986/", 1404104986)</f>
        <v>1404104986</v>
      </c>
      <c r="F713">
        <v>-4364.68</v>
      </c>
    </row>
    <row r="714" spans="1:6" hidden="1" x14ac:dyDescent="0.25">
      <c r="A714" t="s">
        <v>320</v>
      </c>
      <c r="B714" t="s">
        <v>381</v>
      </c>
      <c r="E714" s="3">
        <f>HYPERLINK("https://sao.dolgi.msk.ru/account/1404105508/", 1404105508)</f>
        <v>1404105508</v>
      </c>
      <c r="F714">
        <v>-3060.76</v>
      </c>
    </row>
    <row r="715" spans="1:6" hidden="1" x14ac:dyDescent="0.25">
      <c r="A715" t="s">
        <v>320</v>
      </c>
      <c r="B715" t="s">
        <v>382</v>
      </c>
      <c r="E715" s="3">
        <f>HYPERLINK("https://sao.dolgi.msk.ru/account/1404105102/", 1404105102)</f>
        <v>1404105102</v>
      </c>
      <c r="F715">
        <v>-2695.56</v>
      </c>
    </row>
    <row r="716" spans="1:6" hidden="1" x14ac:dyDescent="0.25">
      <c r="A716" t="s">
        <v>320</v>
      </c>
      <c r="B716" t="s">
        <v>383</v>
      </c>
      <c r="E716" s="3">
        <f>HYPERLINK("https://sao.dolgi.msk.ru/account/1404105831/", 1404105831)</f>
        <v>1404105831</v>
      </c>
      <c r="F716">
        <v>-2676.24</v>
      </c>
    </row>
    <row r="717" spans="1:6" hidden="1" x14ac:dyDescent="0.25">
      <c r="A717" t="s">
        <v>320</v>
      </c>
      <c r="B717" t="s">
        <v>384</v>
      </c>
      <c r="E717" s="3">
        <f>HYPERLINK("https://sao.dolgi.msk.ru/account/1404105129/", 1404105129)</f>
        <v>1404105129</v>
      </c>
      <c r="F717">
        <v>-3547.62</v>
      </c>
    </row>
    <row r="718" spans="1:6" hidden="1" x14ac:dyDescent="0.25">
      <c r="A718" t="s">
        <v>320</v>
      </c>
      <c r="B718" t="s">
        <v>385</v>
      </c>
      <c r="E718" s="3">
        <f>HYPERLINK("https://sao.dolgi.msk.ru/account/1404105858/", 1404105858)</f>
        <v>1404105858</v>
      </c>
      <c r="F718">
        <v>-5724.24</v>
      </c>
    </row>
    <row r="719" spans="1:6" x14ac:dyDescent="0.25">
      <c r="A719" t="s">
        <v>320</v>
      </c>
      <c r="B719" t="s">
        <v>386</v>
      </c>
      <c r="C719" s="5" t="str">
        <f>" кв. "&amp;B719</f>
        <v xml:space="preserve"> кв. 385</v>
      </c>
      <c r="D719" s="5" t="str">
        <f>CONCATENATE(A719,C719)</f>
        <v>Беломорская ул., дом 5 к.3 кв. 385</v>
      </c>
      <c r="E719" s="3">
        <f>HYPERLINK("https://sao.dolgi.msk.ru/account/1404104994/", 1404104994)</f>
        <v>1404104994</v>
      </c>
      <c r="F719">
        <v>88945.3</v>
      </c>
    </row>
    <row r="720" spans="1:6" hidden="1" x14ac:dyDescent="0.25">
      <c r="A720" t="s">
        <v>320</v>
      </c>
      <c r="B720" t="s">
        <v>387</v>
      </c>
      <c r="E720" s="3">
        <f>HYPERLINK("https://sao.dolgi.msk.ru/account/1404105516/", 1404105516)</f>
        <v>1404105516</v>
      </c>
      <c r="F720">
        <v>-2316.34</v>
      </c>
    </row>
    <row r="721" spans="1:6" hidden="1" x14ac:dyDescent="0.25">
      <c r="A721" t="s">
        <v>320</v>
      </c>
      <c r="B721" t="s">
        <v>388</v>
      </c>
      <c r="E721" s="3">
        <f>HYPERLINK("https://sao.dolgi.msk.ru/account/1404105217/", 1404105217)</f>
        <v>1404105217</v>
      </c>
      <c r="F721">
        <v>-2607.13</v>
      </c>
    </row>
    <row r="722" spans="1:6" hidden="1" x14ac:dyDescent="0.25">
      <c r="A722" t="s">
        <v>320</v>
      </c>
      <c r="B722" t="s">
        <v>389</v>
      </c>
      <c r="E722" s="3">
        <f>HYPERLINK("https://sao.dolgi.msk.ru/account/1404105524/", 1404105524)</f>
        <v>1404105524</v>
      </c>
      <c r="F722">
        <v>-2789.53</v>
      </c>
    </row>
    <row r="723" spans="1:6" hidden="1" x14ac:dyDescent="0.25">
      <c r="A723" t="s">
        <v>320</v>
      </c>
      <c r="B723" t="s">
        <v>390</v>
      </c>
      <c r="E723" s="3">
        <f>HYPERLINK("https://sao.dolgi.msk.ru/account/1404105225/", 1404105225)</f>
        <v>1404105225</v>
      </c>
      <c r="F723">
        <v>-5926.21</v>
      </c>
    </row>
    <row r="724" spans="1:6" hidden="1" x14ac:dyDescent="0.25">
      <c r="A724" t="s">
        <v>320</v>
      </c>
      <c r="B724" t="s">
        <v>391</v>
      </c>
      <c r="E724" s="3">
        <f>HYPERLINK("https://sao.dolgi.msk.ru/account/1404105532/", 1404105532)</f>
        <v>1404105532</v>
      </c>
      <c r="F724">
        <v>-3130.97</v>
      </c>
    </row>
    <row r="725" spans="1:6" hidden="1" x14ac:dyDescent="0.25">
      <c r="A725" t="s">
        <v>320</v>
      </c>
      <c r="B725" t="s">
        <v>392</v>
      </c>
      <c r="E725" s="3">
        <f>HYPERLINK("https://sao.dolgi.msk.ru/account/1404105268/", 1404105268)</f>
        <v>1404105268</v>
      </c>
      <c r="F725">
        <v>-2026.35</v>
      </c>
    </row>
    <row r="726" spans="1:6" hidden="1" x14ac:dyDescent="0.25">
      <c r="A726" t="s">
        <v>320</v>
      </c>
      <c r="B726" t="s">
        <v>392</v>
      </c>
      <c r="E726" s="3">
        <f>HYPERLINK("https://sao.dolgi.msk.ru/account/1404105719/", 1404105719)</f>
        <v>1404105719</v>
      </c>
      <c r="F726">
        <v>-1308.01</v>
      </c>
    </row>
    <row r="727" spans="1:6" hidden="1" x14ac:dyDescent="0.25">
      <c r="A727" t="s">
        <v>320</v>
      </c>
      <c r="B727" t="s">
        <v>393</v>
      </c>
      <c r="E727" s="3">
        <f>HYPERLINK("https://sao.dolgi.msk.ru/account/1404105233/", 1404105233)</f>
        <v>1404105233</v>
      </c>
      <c r="F727">
        <v>-4424.05</v>
      </c>
    </row>
    <row r="728" spans="1:6" hidden="1" x14ac:dyDescent="0.25">
      <c r="A728" t="s">
        <v>320</v>
      </c>
      <c r="B728" t="s">
        <v>394</v>
      </c>
      <c r="E728" s="3">
        <f>HYPERLINK("https://sao.dolgi.msk.ru/account/1404105241/", 1404105241)</f>
        <v>1404105241</v>
      </c>
      <c r="F728">
        <v>-3524.09</v>
      </c>
    </row>
    <row r="729" spans="1:6" hidden="1" x14ac:dyDescent="0.25">
      <c r="A729" t="s">
        <v>320</v>
      </c>
      <c r="B729" t="s">
        <v>395</v>
      </c>
      <c r="E729" s="3">
        <f>HYPERLINK("https://sao.dolgi.msk.ru/account/1404106017/", 1404106017)</f>
        <v>1404106017</v>
      </c>
      <c r="F729">
        <v>-1746.84</v>
      </c>
    </row>
    <row r="730" spans="1:6" hidden="1" x14ac:dyDescent="0.25">
      <c r="A730" t="s">
        <v>320</v>
      </c>
      <c r="B730" t="s">
        <v>396</v>
      </c>
      <c r="E730" s="3">
        <f>HYPERLINK("https://sao.dolgi.msk.ru/account/1404106025/", 1404106025)</f>
        <v>1404106025</v>
      </c>
      <c r="F730">
        <v>-770.87</v>
      </c>
    </row>
    <row r="731" spans="1:6" hidden="1" x14ac:dyDescent="0.25">
      <c r="A731" t="s">
        <v>320</v>
      </c>
      <c r="B731" t="s">
        <v>397</v>
      </c>
      <c r="E731" s="3">
        <f>HYPERLINK("https://sao.dolgi.msk.ru/account/1404105866/", 1404105866)</f>
        <v>1404105866</v>
      </c>
      <c r="F731">
        <v>0</v>
      </c>
    </row>
    <row r="732" spans="1:6" hidden="1" x14ac:dyDescent="0.25">
      <c r="A732" t="s">
        <v>320</v>
      </c>
      <c r="B732" t="s">
        <v>398</v>
      </c>
      <c r="E732" s="3">
        <f>HYPERLINK("https://sao.dolgi.msk.ru/account/1404105372/", 1404105372)</f>
        <v>1404105372</v>
      </c>
      <c r="F732">
        <v>-4528.59</v>
      </c>
    </row>
    <row r="733" spans="1:6" hidden="1" x14ac:dyDescent="0.25">
      <c r="A733" t="s">
        <v>320</v>
      </c>
      <c r="B733" t="s">
        <v>399</v>
      </c>
      <c r="E733" s="3">
        <f>HYPERLINK("https://sao.dolgi.msk.ru/account/1404105559/", 1404105559)</f>
        <v>1404105559</v>
      </c>
      <c r="F733">
        <v>0</v>
      </c>
    </row>
    <row r="734" spans="1:6" hidden="1" x14ac:dyDescent="0.25">
      <c r="A734" t="s">
        <v>320</v>
      </c>
      <c r="B734" t="s">
        <v>400</v>
      </c>
      <c r="E734" s="3">
        <f>HYPERLINK("https://sao.dolgi.msk.ru/account/1404106033/", 1404106033)</f>
        <v>1404106033</v>
      </c>
      <c r="F734">
        <v>-6117.15</v>
      </c>
    </row>
    <row r="735" spans="1:6" x14ac:dyDescent="0.25">
      <c r="A735" t="s">
        <v>320</v>
      </c>
      <c r="B735" t="s">
        <v>401</v>
      </c>
      <c r="C735" s="5" t="str">
        <f>" кв. "&amp;B735</f>
        <v xml:space="preserve"> кв. 400</v>
      </c>
      <c r="D735" s="5" t="str">
        <f>CONCATENATE(A735,C735)</f>
        <v>Беломорская ул., дом 5 к.3 кв. 400</v>
      </c>
      <c r="E735" s="3">
        <f>HYPERLINK("https://sao.dolgi.msk.ru/account/1404105567/", 1404105567)</f>
        <v>1404105567</v>
      </c>
      <c r="F735">
        <v>4011.11</v>
      </c>
    </row>
    <row r="736" spans="1:6" hidden="1" x14ac:dyDescent="0.25">
      <c r="A736" t="s">
        <v>320</v>
      </c>
      <c r="B736" t="s">
        <v>402</v>
      </c>
      <c r="E736" s="3">
        <f>HYPERLINK("https://sao.dolgi.msk.ru/account/1404105399/", 1404105399)</f>
        <v>1404105399</v>
      </c>
      <c r="F736">
        <v>-4746.2700000000004</v>
      </c>
    </row>
    <row r="737" spans="1:6" hidden="1" x14ac:dyDescent="0.25">
      <c r="A737" t="s">
        <v>320</v>
      </c>
      <c r="B737" t="s">
        <v>403</v>
      </c>
      <c r="E737" s="3">
        <f>HYPERLINK("https://sao.dolgi.msk.ru/account/1404105874/", 1404105874)</f>
        <v>1404105874</v>
      </c>
      <c r="F737">
        <v>-1518.88</v>
      </c>
    </row>
    <row r="738" spans="1:6" hidden="1" x14ac:dyDescent="0.25">
      <c r="A738" t="s">
        <v>320</v>
      </c>
      <c r="B738" t="s">
        <v>404</v>
      </c>
      <c r="E738" s="3">
        <f>HYPERLINK("https://sao.dolgi.msk.ru/account/1404105401/", 1404105401)</f>
        <v>1404105401</v>
      </c>
      <c r="F738">
        <v>-3403.67</v>
      </c>
    </row>
    <row r="739" spans="1:6" hidden="1" x14ac:dyDescent="0.25">
      <c r="A739" t="s">
        <v>320</v>
      </c>
      <c r="B739" t="s">
        <v>405</v>
      </c>
      <c r="E739" s="3">
        <f>HYPERLINK("https://sao.dolgi.msk.ru/account/1404105006/", 1404105006)</f>
        <v>1404105006</v>
      </c>
      <c r="F739">
        <v>-6388.31</v>
      </c>
    </row>
    <row r="740" spans="1:6" hidden="1" x14ac:dyDescent="0.25">
      <c r="A740" t="s">
        <v>320</v>
      </c>
      <c r="B740" t="s">
        <v>406</v>
      </c>
      <c r="E740" s="3">
        <f>HYPERLINK("https://sao.dolgi.msk.ru/account/1404106041/", 1404106041)</f>
        <v>1404106041</v>
      </c>
      <c r="F740">
        <v>-7866.36</v>
      </c>
    </row>
    <row r="741" spans="1:6" hidden="1" x14ac:dyDescent="0.25">
      <c r="A741" t="s">
        <v>320</v>
      </c>
      <c r="B741" t="s">
        <v>407</v>
      </c>
      <c r="E741" s="3">
        <f>HYPERLINK("https://sao.dolgi.msk.ru/account/1404105575/", 1404105575)</f>
        <v>1404105575</v>
      </c>
      <c r="F741">
        <v>-6008.25</v>
      </c>
    </row>
    <row r="742" spans="1:6" hidden="1" x14ac:dyDescent="0.25">
      <c r="A742" t="s">
        <v>320</v>
      </c>
      <c r="B742" t="s">
        <v>408</v>
      </c>
      <c r="E742" s="3">
        <f>HYPERLINK("https://sao.dolgi.msk.ru/account/1404105727/", 1404105727)</f>
        <v>1404105727</v>
      </c>
      <c r="F742">
        <v>-3943.43</v>
      </c>
    </row>
    <row r="743" spans="1:6" hidden="1" x14ac:dyDescent="0.25">
      <c r="A743" t="s">
        <v>320</v>
      </c>
      <c r="B743" t="s">
        <v>409</v>
      </c>
      <c r="E743" s="3">
        <f>HYPERLINK("https://sao.dolgi.msk.ru/account/1404105137/", 1404105137)</f>
        <v>1404105137</v>
      </c>
      <c r="F743">
        <v>-4427.99</v>
      </c>
    </row>
    <row r="744" spans="1:6" hidden="1" x14ac:dyDescent="0.25">
      <c r="A744" t="s">
        <v>320</v>
      </c>
      <c r="B744" t="s">
        <v>410</v>
      </c>
      <c r="E744" s="3">
        <f>HYPERLINK("https://sao.dolgi.msk.ru/account/1404105428/", 1404105428)</f>
        <v>1404105428</v>
      </c>
      <c r="F744">
        <v>-87.75</v>
      </c>
    </row>
    <row r="745" spans="1:6" hidden="1" x14ac:dyDescent="0.25">
      <c r="A745" t="s">
        <v>320</v>
      </c>
      <c r="B745" t="s">
        <v>411</v>
      </c>
      <c r="E745" s="3">
        <f>HYPERLINK("https://sao.dolgi.msk.ru/account/1404105735/", 1404105735)</f>
        <v>1404105735</v>
      </c>
      <c r="F745">
        <v>-3550.65</v>
      </c>
    </row>
    <row r="746" spans="1:6" hidden="1" x14ac:dyDescent="0.25">
      <c r="A746" t="s">
        <v>412</v>
      </c>
      <c r="B746" t="s">
        <v>5</v>
      </c>
      <c r="E746" s="3">
        <f>HYPERLINK("https://sao.dolgi.msk.ru/account/1404179478/", 1404179478)</f>
        <v>1404179478</v>
      </c>
      <c r="F746">
        <v>-1310.79</v>
      </c>
    </row>
    <row r="747" spans="1:6" x14ac:dyDescent="0.25">
      <c r="A747" t="s">
        <v>412</v>
      </c>
      <c r="B747" t="s">
        <v>6</v>
      </c>
      <c r="C747" s="5" t="str">
        <f>" кв. "&amp;B747</f>
        <v xml:space="preserve"> кв. 2</v>
      </c>
      <c r="D747" s="5" t="str">
        <f>CONCATENATE(A747,C747)</f>
        <v>Беломорская ул., дом 7 к.1 кв. 2</v>
      </c>
      <c r="E747" s="3">
        <f>HYPERLINK("https://sao.dolgi.msk.ru/account/1404179144/", 1404179144)</f>
        <v>1404179144</v>
      </c>
      <c r="F747">
        <v>988.45</v>
      </c>
    </row>
    <row r="748" spans="1:6" hidden="1" x14ac:dyDescent="0.25">
      <c r="A748" t="s">
        <v>412</v>
      </c>
      <c r="B748" t="s">
        <v>7</v>
      </c>
      <c r="E748" s="3">
        <f>HYPERLINK("https://sao.dolgi.msk.ru/account/1404179013/", 1404179013)</f>
        <v>1404179013</v>
      </c>
      <c r="F748">
        <v>-1540.91</v>
      </c>
    </row>
    <row r="749" spans="1:6" hidden="1" x14ac:dyDescent="0.25">
      <c r="A749" t="s">
        <v>412</v>
      </c>
      <c r="B749" t="s">
        <v>8</v>
      </c>
      <c r="E749" s="3">
        <f>HYPERLINK("https://sao.dolgi.msk.ru/account/1404179574/", 1404179574)</f>
        <v>1404179574</v>
      </c>
      <c r="F749">
        <v>-1314.9</v>
      </c>
    </row>
    <row r="750" spans="1:6" hidden="1" x14ac:dyDescent="0.25">
      <c r="A750" t="s">
        <v>412</v>
      </c>
      <c r="B750" t="s">
        <v>9</v>
      </c>
      <c r="E750" s="3">
        <f>HYPERLINK("https://sao.dolgi.msk.ru/account/1404179312/", 1404179312)</f>
        <v>1404179312</v>
      </c>
      <c r="F750">
        <v>-1074.68</v>
      </c>
    </row>
    <row r="751" spans="1:6" hidden="1" x14ac:dyDescent="0.25">
      <c r="A751" t="s">
        <v>412</v>
      </c>
      <c r="B751" t="s">
        <v>10</v>
      </c>
      <c r="E751" s="3">
        <f>HYPERLINK("https://sao.dolgi.msk.ru/account/1404178758/", 1404178758)</f>
        <v>1404178758</v>
      </c>
      <c r="F751">
        <v>-838.26</v>
      </c>
    </row>
    <row r="752" spans="1:6" hidden="1" x14ac:dyDescent="0.25">
      <c r="A752" t="s">
        <v>412</v>
      </c>
      <c r="B752" t="s">
        <v>11</v>
      </c>
      <c r="E752" s="3">
        <f>HYPERLINK("https://sao.dolgi.msk.ru/account/1404179371/", 1404179371)</f>
        <v>1404179371</v>
      </c>
      <c r="F752">
        <v>-1253.81</v>
      </c>
    </row>
    <row r="753" spans="1:6" hidden="1" x14ac:dyDescent="0.25">
      <c r="A753" t="s">
        <v>412</v>
      </c>
      <c r="B753" t="s">
        <v>12</v>
      </c>
      <c r="E753" s="3">
        <f>HYPERLINK("https://sao.dolgi.msk.ru/account/1404179056/", 1404179056)</f>
        <v>1404179056</v>
      </c>
      <c r="F753">
        <v>-1064.55</v>
      </c>
    </row>
    <row r="754" spans="1:6" hidden="1" x14ac:dyDescent="0.25">
      <c r="A754" t="s">
        <v>412</v>
      </c>
      <c r="B754" t="s">
        <v>13</v>
      </c>
      <c r="E754" s="3">
        <f>HYPERLINK("https://sao.dolgi.msk.ru/account/1404179064/", 1404179064)</f>
        <v>1404179064</v>
      </c>
      <c r="F754">
        <v>-1474.44</v>
      </c>
    </row>
    <row r="755" spans="1:6" hidden="1" x14ac:dyDescent="0.25">
      <c r="A755" t="s">
        <v>412</v>
      </c>
      <c r="B755" t="s">
        <v>14</v>
      </c>
      <c r="E755" s="3">
        <f>HYPERLINK("https://sao.dolgi.msk.ru/account/1404179486/", 1404179486)</f>
        <v>1404179486</v>
      </c>
      <c r="F755">
        <v>-1710.17</v>
      </c>
    </row>
    <row r="756" spans="1:6" x14ac:dyDescent="0.25">
      <c r="A756" t="s">
        <v>412</v>
      </c>
      <c r="B756" t="s">
        <v>15</v>
      </c>
      <c r="C756" s="5" t="str">
        <f>" кв. "&amp;B756</f>
        <v xml:space="preserve"> кв. 11</v>
      </c>
      <c r="D756" s="5" t="str">
        <f>CONCATENATE(A756,C756)</f>
        <v>Беломорская ул., дом 7 к.1 кв. 11</v>
      </c>
      <c r="E756" s="3">
        <f>HYPERLINK("https://sao.dolgi.msk.ru/account/1404179582/", 1404179582)</f>
        <v>1404179582</v>
      </c>
      <c r="F756">
        <v>1176.6400000000001</v>
      </c>
    </row>
    <row r="757" spans="1:6" hidden="1" x14ac:dyDescent="0.25">
      <c r="A757" t="s">
        <v>412</v>
      </c>
      <c r="B757" t="s">
        <v>16</v>
      </c>
      <c r="E757" s="3">
        <f>HYPERLINK("https://sao.dolgi.msk.ru/account/1404179603/", 1404179603)</f>
        <v>1404179603</v>
      </c>
      <c r="F757">
        <v>-1469.81</v>
      </c>
    </row>
    <row r="758" spans="1:6" hidden="1" x14ac:dyDescent="0.25">
      <c r="A758" t="s">
        <v>412</v>
      </c>
      <c r="B758" t="s">
        <v>17</v>
      </c>
      <c r="E758" s="3">
        <f>HYPERLINK("https://sao.dolgi.msk.ru/account/1404179136/", 1404179136)</f>
        <v>1404179136</v>
      </c>
      <c r="F758">
        <v>0</v>
      </c>
    </row>
    <row r="759" spans="1:6" hidden="1" x14ac:dyDescent="0.25">
      <c r="A759" t="s">
        <v>412</v>
      </c>
      <c r="B759" t="s">
        <v>18</v>
      </c>
      <c r="E759" s="3">
        <f>HYPERLINK("https://sao.dolgi.msk.ru/account/1404179611/", 1404179611)</f>
        <v>1404179611</v>
      </c>
      <c r="F759">
        <v>-1719.42</v>
      </c>
    </row>
    <row r="760" spans="1:6" hidden="1" x14ac:dyDescent="0.25">
      <c r="A760" t="s">
        <v>412</v>
      </c>
      <c r="B760" t="s">
        <v>19</v>
      </c>
      <c r="E760" s="3">
        <f>HYPERLINK("https://sao.dolgi.msk.ru/account/1404179048/", 1404179048)</f>
        <v>1404179048</v>
      </c>
      <c r="F760">
        <v>-1724.04</v>
      </c>
    </row>
    <row r="761" spans="1:6" hidden="1" x14ac:dyDescent="0.25">
      <c r="A761" t="s">
        <v>412</v>
      </c>
      <c r="B761" t="s">
        <v>20</v>
      </c>
      <c r="E761" s="3">
        <f>HYPERLINK("https://sao.dolgi.msk.ru/account/1404179208/", 1404179208)</f>
        <v>1404179208</v>
      </c>
      <c r="F761">
        <v>0</v>
      </c>
    </row>
    <row r="762" spans="1:6" x14ac:dyDescent="0.25">
      <c r="A762" t="s">
        <v>412</v>
      </c>
      <c r="B762" t="s">
        <v>21</v>
      </c>
      <c r="C762" s="5" t="str">
        <f t="shared" ref="C762:C763" si="25">" кв. "&amp;B762</f>
        <v xml:space="preserve"> кв. 17</v>
      </c>
      <c r="D762" s="5" t="str">
        <f>CONCATENATE(A762,C762)</f>
        <v>Беломорская ул., дом 7 к.1 кв. 17</v>
      </c>
      <c r="E762" s="3">
        <f>HYPERLINK("https://sao.dolgi.msk.ru/account/1404179494/", 1404179494)</f>
        <v>1404179494</v>
      </c>
      <c r="F762">
        <v>1009</v>
      </c>
    </row>
    <row r="763" spans="1:6" x14ac:dyDescent="0.25">
      <c r="A763" t="s">
        <v>412</v>
      </c>
      <c r="B763" t="s">
        <v>22</v>
      </c>
      <c r="C763" s="5" t="str">
        <f t="shared" si="25"/>
        <v xml:space="preserve"> кв. 18</v>
      </c>
      <c r="D763" s="5" t="str">
        <f>CONCATENATE(A763,C763)</f>
        <v>Беломорская ул., дом 7 к.1 кв. 18</v>
      </c>
      <c r="E763" s="3">
        <f>HYPERLINK("https://sao.dolgi.msk.ru/account/1404179291/", 1404179291)</f>
        <v>1404179291</v>
      </c>
      <c r="F763">
        <v>361.52</v>
      </c>
    </row>
    <row r="764" spans="1:6" hidden="1" x14ac:dyDescent="0.25">
      <c r="A764" t="s">
        <v>412</v>
      </c>
      <c r="B764" t="s">
        <v>23</v>
      </c>
      <c r="E764" s="3">
        <f>HYPERLINK("https://sao.dolgi.msk.ru/account/1404178803/", 1404178803)</f>
        <v>1404178803</v>
      </c>
      <c r="F764">
        <v>-922.23</v>
      </c>
    </row>
    <row r="765" spans="1:6" hidden="1" x14ac:dyDescent="0.25">
      <c r="A765" t="s">
        <v>412</v>
      </c>
      <c r="B765" t="s">
        <v>24</v>
      </c>
      <c r="E765" s="3">
        <f>HYPERLINK("https://sao.dolgi.msk.ru/account/1404178918/", 1404178918)</f>
        <v>1404178918</v>
      </c>
      <c r="F765">
        <v>-1469.81</v>
      </c>
    </row>
    <row r="766" spans="1:6" x14ac:dyDescent="0.25">
      <c r="A766" t="s">
        <v>412</v>
      </c>
      <c r="B766" t="s">
        <v>25</v>
      </c>
      <c r="C766" s="5" t="str">
        <f>" кв. "&amp;B766</f>
        <v xml:space="preserve"> кв. 21</v>
      </c>
      <c r="D766" s="5" t="str">
        <f>CONCATENATE(A766,C766)</f>
        <v>Беломорская ул., дом 7 к.1 кв. 21</v>
      </c>
      <c r="E766" s="3">
        <f>HYPERLINK("https://sao.dolgi.msk.ru/account/1404179152/", 1404179152)</f>
        <v>1404179152</v>
      </c>
      <c r="F766">
        <v>1404.37</v>
      </c>
    </row>
    <row r="767" spans="1:6" hidden="1" x14ac:dyDescent="0.25">
      <c r="A767" t="s">
        <v>412</v>
      </c>
      <c r="B767" t="s">
        <v>26</v>
      </c>
      <c r="E767" s="3">
        <f>HYPERLINK("https://sao.dolgi.msk.ru/account/1404178811/", 1404178811)</f>
        <v>1404178811</v>
      </c>
      <c r="F767">
        <v>-1714.79</v>
      </c>
    </row>
    <row r="768" spans="1:6" hidden="1" x14ac:dyDescent="0.25">
      <c r="A768" t="s">
        <v>412</v>
      </c>
      <c r="B768" t="s">
        <v>27</v>
      </c>
      <c r="E768" s="3">
        <f>HYPERLINK("https://sao.dolgi.msk.ru/account/1404179216/", 1404179216)</f>
        <v>1404179216</v>
      </c>
      <c r="F768">
        <v>-1459.71</v>
      </c>
    </row>
    <row r="769" spans="1:6" x14ac:dyDescent="0.25">
      <c r="A769" t="s">
        <v>412</v>
      </c>
      <c r="B769" t="s">
        <v>28</v>
      </c>
      <c r="C769" s="5" t="str">
        <f>" кв. "&amp;B769</f>
        <v xml:space="preserve"> кв. 24</v>
      </c>
      <c r="D769" s="5" t="str">
        <f>CONCATENATE(A769,C769)</f>
        <v>Беломорская ул., дом 7 к.1 кв. 24</v>
      </c>
      <c r="E769" s="3">
        <f>HYPERLINK("https://sao.dolgi.msk.ru/account/1404178926/", 1404178926)</f>
        <v>1404178926</v>
      </c>
      <c r="F769">
        <v>1005.83</v>
      </c>
    </row>
    <row r="770" spans="1:6" hidden="1" x14ac:dyDescent="0.25">
      <c r="A770" t="s">
        <v>412</v>
      </c>
      <c r="B770" t="s">
        <v>29</v>
      </c>
      <c r="E770" s="3">
        <f>HYPERLINK("https://sao.dolgi.msk.ru/account/1404179638/", 1404179638)</f>
        <v>1404179638</v>
      </c>
      <c r="F770">
        <v>0</v>
      </c>
    </row>
    <row r="771" spans="1:6" hidden="1" x14ac:dyDescent="0.25">
      <c r="A771" t="s">
        <v>412</v>
      </c>
      <c r="B771" t="s">
        <v>30</v>
      </c>
      <c r="E771" s="3">
        <f>HYPERLINK("https://sao.dolgi.msk.ru/account/1404179646/", 1404179646)</f>
        <v>1404179646</v>
      </c>
      <c r="F771">
        <v>-1719.42</v>
      </c>
    </row>
    <row r="772" spans="1:6" hidden="1" x14ac:dyDescent="0.25">
      <c r="A772" t="s">
        <v>412</v>
      </c>
      <c r="B772" t="s">
        <v>31</v>
      </c>
      <c r="E772" s="3">
        <f>HYPERLINK("https://sao.dolgi.msk.ru/account/1404179507/", 1404179507)</f>
        <v>1404179507</v>
      </c>
      <c r="F772">
        <v>-1444.13</v>
      </c>
    </row>
    <row r="773" spans="1:6" x14ac:dyDescent="0.25">
      <c r="A773" t="s">
        <v>412</v>
      </c>
      <c r="B773" t="s">
        <v>32</v>
      </c>
      <c r="C773" s="5" t="str">
        <f>" кв. "&amp;B773</f>
        <v xml:space="preserve"> кв. 28</v>
      </c>
      <c r="D773" s="5" t="str">
        <f>CONCATENATE(A773,C773)</f>
        <v>Беломорская ул., дом 7 к.1 кв. 28</v>
      </c>
      <c r="E773" s="3">
        <f>HYPERLINK("https://sao.dolgi.msk.ru/account/1404179427/", 1404179427)</f>
        <v>1404179427</v>
      </c>
      <c r="F773">
        <v>501.33</v>
      </c>
    </row>
    <row r="774" spans="1:6" hidden="1" x14ac:dyDescent="0.25">
      <c r="A774" t="s">
        <v>412</v>
      </c>
      <c r="B774" t="s">
        <v>33</v>
      </c>
      <c r="E774" s="3">
        <f>HYPERLINK("https://sao.dolgi.msk.ru/account/1404179005/", 1404179005)</f>
        <v>1404179005</v>
      </c>
      <c r="F774">
        <v>-1289.55</v>
      </c>
    </row>
    <row r="775" spans="1:6" hidden="1" x14ac:dyDescent="0.25">
      <c r="A775" t="s">
        <v>412</v>
      </c>
      <c r="B775" t="s">
        <v>34</v>
      </c>
      <c r="E775" s="3">
        <f>HYPERLINK("https://sao.dolgi.msk.ru/account/1404179435/", 1404179435)</f>
        <v>1404179435</v>
      </c>
      <c r="F775">
        <v>0</v>
      </c>
    </row>
    <row r="776" spans="1:6" hidden="1" x14ac:dyDescent="0.25">
      <c r="A776" t="s">
        <v>412</v>
      </c>
      <c r="B776" t="s">
        <v>35</v>
      </c>
      <c r="E776" s="3">
        <f>HYPERLINK("https://sao.dolgi.msk.ru/account/1404179267/", 1404179267)</f>
        <v>1404179267</v>
      </c>
      <c r="F776">
        <v>-930.02</v>
      </c>
    </row>
    <row r="777" spans="1:6" hidden="1" x14ac:dyDescent="0.25">
      <c r="A777" t="s">
        <v>412</v>
      </c>
      <c r="B777" t="s">
        <v>36</v>
      </c>
      <c r="E777" s="3">
        <f>HYPERLINK("https://sao.dolgi.msk.ru/account/1404179443/", 1404179443)</f>
        <v>1404179443</v>
      </c>
      <c r="F777">
        <v>-1474.44</v>
      </c>
    </row>
    <row r="778" spans="1:6" hidden="1" x14ac:dyDescent="0.25">
      <c r="A778" t="s">
        <v>412</v>
      </c>
      <c r="B778" t="s">
        <v>37</v>
      </c>
      <c r="E778" s="3">
        <f>HYPERLINK("https://sao.dolgi.msk.ru/account/1404179128/", 1404179128)</f>
        <v>1404179128</v>
      </c>
      <c r="F778">
        <v>0</v>
      </c>
    </row>
    <row r="779" spans="1:6" hidden="1" x14ac:dyDescent="0.25">
      <c r="A779" t="s">
        <v>412</v>
      </c>
      <c r="B779" t="s">
        <v>38</v>
      </c>
      <c r="E779" s="3">
        <f>HYPERLINK("https://sao.dolgi.msk.ru/account/1404179566/", 1404179566)</f>
        <v>1404179566</v>
      </c>
      <c r="F779">
        <v>0</v>
      </c>
    </row>
    <row r="780" spans="1:6" hidden="1" x14ac:dyDescent="0.25">
      <c r="A780" t="s">
        <v>412</v>
      </c>
      <c r="B780" t="s">
        <v>39</v>
      </c>
      <c r="E780" s="3">
        <f>HYPERLINK("https://sao.dolgi.msk.ru/account/1404178774/", 1404178774)</f>
        <v>1404178774</v>
      </c>
      <c r="F780">
        <v>-1710.17</v>
      </c>
    </row>
    <row r="781" spans="1:6" x14ac:dyDescent="0.25">
      <c r="A781" t="s">
        <v>412</v>
      </c>
      <c r="B781" t="s">
        <v>40</v>
      </c>
      <c r="C781" s="5" t="str">
        <f>" кв. "&amp;B781</f>
        <v xml:space="preserve"> кв. 36</v>
      </c>
      <c r="D781" s="5" t="str">
        <f>CONCATENATE(A781,C781)</f>
        <v>Беломорская ул., дом 7 к.1 кв. 36</v>
      </c>
      <c r="E781" s="3">
        <f>HYPERLINK("https://sao.dolgi.msk.ru/account/1404179195/", 1404179195)</f>
        <v>1404179195</v>
      </c>
      <c r="F781">
        <v>996.35</v>
      </c>
    </row>
    <row r="782" spans="1:6" hidden="1" x14ac:dyDescent="0.25">
      <c r="A782" t="s">
        <v>412</v>
      </c>
      <c r="B782" t="s">
        <v>41</v>
      </c>
      <c r="E782" s="3">
        <f>HYPERLINK("https://sao.dolgi.msk.ru/account/1404178889/", 1404178889)</f>
        <v>1404178889</v>
      </c>
      <c r="F782">
        <v>-2056.8200000000002</v>
      </c>
    </row>
    <row r="783" spans="1:6" hidden="1" x14ac:dyDescent="0.25">
      <c r="A783" t="s">
        <v>412</v>
      </c>
      <c r="B783" t="s">
        <v>42</v>
      </c>
      <c r="E783" s="3">
        <f>HYPERLINK("https://sao.dolgi.msk.ru/account/1404178782/", 1404178782)</f>
        <v>1404178782</v>
      </c>
      <c r="F783">
        <v>-1714.79</v>
      </c>
    </row>
    <row r="784" spans="1:6" hidden="1" x14ac:dyDescent="0.25">
      <c r="A784" t="s">
        <v>412</v>
      </c>
      <c r="B784" t="s">
        <v>43</v>
      </c>
      <c r="E784" s="3">
        <f>HYPERLINK("https://sao.dolgi.msk.ru/account/1404178897/", 1404178897)</f>
        <v>1404178897</v>
      </c>
      <c r="F784">
        <v>-1724.04</v>
      </c>
    </row>
    <row r="785" spans="1:6" hidden="1" x14ac:dyDescent="0.25">
      <c r="A785" t="s">
        <v>412</v>
      </c>
      <c r="B785" t="s">
        <v>44</v>
      </c>
      <c r="E785" s="3">
        <f>HYPERLINK("https://sao.dolgi.msk.ru/account/1404179275/", 1404179275)</f>
        <v>1404179275</v>
      </c>
      <c r="F785">
        <v>0</v>
      </c>
    </row>
    <row r="786" spans="1:6" hidden="1" x14ac:dyDescent="0.25">
      <c r="A786" t="s">
        <v>412</v>
      </c>
      <c r="B786" t="s">
        <v>45</v>
      </c>
      <c r="E786" s="3">
        <f>HYPERLINK("https://sao.dolgi.msk.ru/account/1404179283/", 1404179283)</f>
        <v>1404179283</v>
      </c>
      <c r="F786">
        <v>-501.33</v>
      </c>
    </row>
    <row r="787" spans="1:6" hidden="1" x14ac:dyDescent="0.25">
      <c r="A787" t="s">
        <v>412</v>
      </c>
      <c r="B787" t="s">
        <v>46</v>
      </c>
      <c r="E787" s="3">
        <f>HYPERLINK("https://sao.dolgi.msk.ru/account/1404179021/", 1404179021)</f>
        <v>1404179021</v>
      </c>
      <c r="F787">
        <v>-1714.79</v>
      </c>
    </row>
    <row r="788" spans="1:6" hidden="1" x14ac:dyDescent="0.25">
      <c r="A788" t="s">
        <v>412</v>
      </c>
      <c r="B788" t="s">
        <v>47</v>
      </c>
      <c r="E788" s="3">
        <f>HYPERLINK("https://sao.dolgi.msk.ru/account/1404179072/", 1404179072)</f>
        <v>1404179072</v>
      </c>
      <c r="F788">
        <v>0</v>
      </c>
    </row>
    <row r="789" spans="1:6" x14ac:dyDescent="0.25">
      <c r="A789" t="s">
        <v>412</v>
      </c>
      <c r="B789" t="s">
        <v>48</v>
      </c>
      <c r="C789" s="5" t="str">
        <f>" кв. "&amp;B789</f>
        <v xml:space="preserve"> кв. 44</v>
      </c>
      <c r="D789" s="5" t="str">
        <f>CONCATENATE(A789,C789)</f>
        <v>Беломорская ул., дом 7 к.1 кв. 44</v>
      </c>
      <c r="E789" s="3">
        <f>HYPERLINK("https://sao.dolgi.msk.ru/account/1404179515/", 1404179515)</f>
        <v>1404179515</v>
      </c>
      <c r="F789">
        <v>1002.67</v>
      </c>
    </row>
    <row r="790" spans="1:6" hidden="1" x14ac:dyDescent="0.25">
      <c r="A790" t="s">
        <v>412</v>
      </c>
      <c r="B790" t="s">
        <v>49</v>
      </c>
      <c r="E790" s="3">
        <f>HYPERLINK("https://sao.dolgi.msk.ru/account/1404178934/", 1404178934)</f>
        <v>1404178934</v>
      </c>
      <c r="F790">
        <v>-2047.57</v>
      </c>
    </row>
    <row r="791" spans="1:6" hidden="1" x14ac:dyDescent="0.25">
      <c r="A791" t="s">
        <v>412</v>
      </c>
      <c r="B791" t="s">
        <v>50</v>
      </c>
      <c r="E791" s="3">
        <f>HYPERLINK("https://sao.dolgi.msk.ru/account/1404179523/", 1404179523)</f>
        <v>1404179523</v>
      </c>
      <c r="F791">
        <v>0</v>
      </c>
    </row>
    <row r="792" spans="1:6" x14ac:dyDescent="0.25">
      <c r="A792" t="s">
        <v>412</v>
      </c>
      <c r="B792" t="s">
        <v>51</v>
      </c>
      <c r="C792" s="5" t="str">
        <f>" кв. "&amp;B792</f>
        <v xml:space="preserve"> кв. 47</v>
      </c>
      <c r="D792" s="5" t="str">
        <f>CONCATENATE(A792,C792)</f>
        <v>Беломорская ул., дом 7 к.1 кв. 47</v>
      </c>
      <c r="E792" s="3">
        <f>HYPERLINK("https://sao.dolgi.msk.ru/account/1404178942/", 1404178942)</f>
        <v>1404178942</v>
      </c>
      <c r="F792">
        <v>1182.96</v>
      </c>
    </row>
    <row r="793" spans="1:6" hidden="1" x14ac:dyDescent="0.25">
      <c r="A793" t="s">
        <v>412</v>
      </c>
      <c r="B793" t="s">
        <v>52</v>
      </c>
      <c r="E793" s="3">
        <f>HYPERLINK("https://sao.dolgi.msk.ru/account/1404179224/", 1404179224)</f>
        <v>1404179224</v>
      </c>
      <c r="F793">
        <v>0</v>
      </c>
    </row>
    <row r="794" spans="1:6" hidden="1" x14ac:dyDescent="0.25">
      <c r="A794" t="s">
        <v>412</v>
      </c>
      <c r="B794" t="s">
        <v>52</v>
      </c>
      <c r="E794" s="3">
        <f>HYPERLINK("https://sao.dolgi.msk.ru/account/1404179232/", 1404179232)</f>
        <v>1404179232</v>
      </c>
      <c r="F794">
        <v>-1310.3499999999999</v>
      </c>
    </row>
    <row r="795" spans="1:6" hidden="1" x14ac:dyDescent="0.25">
      <c r="A795" t="s">
        <v>412</v>
      </c>
      <c r="B795" t="s">
        <v>53</v>
      </c>
      <c r="E795" s="3">
        <f>HYPERLINK("https://sao.dolgi.msk.ru/account/1404179654/", 1404179654)</f>
        <v>1404179654</v>
      </c>
      <c r="F795">
        <v>-1465.19</v>
      </c>
    </row>
    <row r="796" spans="1:6" hidden="1" x14ac:dyDescent="0.25">
      <c r="A796" t="s">
        <v>412</v>
      </c>
      <c r="B796" t="s">
        <v>54</v>
      </c>
      <c r="E796" s="3">
        <f>HYPERLINK("https://sao.dolgi.msk.ru/account/1404178838/", 1404178838)</f>
        <v>1404178838</v>
      </c>
      <c r="F796">
        <v>-1448.04</v>
      </c>
    </row>
    <row r="797" spans="1:6" hidden="1" x14ac:dyDescent="0.25">
      <c r="A797" t="s">
        <v>412</v>
      </c>
      <c r="B797" t="s">
        <v>55</v>
      </c>
      <c r="E797" s="3">
        <f>HYPERLINK("https://sao.dolgi.msk.ru/account/1404179339/", 1404179339)</f>
        <v>1404179339</v>
      </c>
      <c r="F797">
        <v>-1440.25</v>
      </c>
    </row>
    <row r="798" spans="1:6" hidden="1" x14ac:dyDescent="0.25">
      <c r="A798" t="s">
        <v>412</v>
      </c>
      <c r="B798" t="s">
        <v>56</v>
      </c>
      <c r="E798" s="3">
        <f>HYPERLINK("https://sao.dolgi.msk.ru/account/1404179531/", 1404179531)</f>
        <v>1404179531</v>
      </c>
      <c r="F798">
        <v>-1474.44</v>
      </c>
    </row>
    <row r="799" spans="1:6" hidden="1" x14ac:dyDescent="0.25">
      <c r="A799" t="s">
        <v>412</v>
      </c>
      <c r="B799" t="s">
        <v>57</v>
      </c>
      <c r="E799" s="3">
        <f>HYPERLINK("https://sao.dolgi.msk.ru/account/1404179304/", 1404179304)</f>
        <v>1404179304</v>
      </c>
      <c r="F799">
        <v>-2033.7</v>
      </c>
    </row>
    <row r="800" spans="1:6" hidden="1" x14ac:dyDescent="0.25">
      <c r="A800" t="s">
        <v>412</v>
      </c>
      <c r="B800" t="s">
        <v>58</v>
      </c>
      <c r="E800" s="3">
        <f>HYPERLINK("https://sao.dolgi.msk.ru/account/1404178846/", 1404178846)</f>
        <v>1404178846</v>
      </c>
      <c r="F800">
        <v>-884.27</v>
      </c>
    </row>
    <row r="801" spans="1:6" hidden="1" x14ac:dyDescent="0.25">
      <c r="A801" t="s">
        <v>412</v>
      </c>
      <c r="B801" t="s">
        <v>59</v>
      </c>
      <c r="E801" s="3">
        <f>HYPERLINK("https://sao.dolgi.msk.ru/account/1404179099/", 1404179099)</f>
        <v>1404179099</v>
      </c>
      <c r="F801">
        <v>-1733.29</v>
      </c>
    </row>
    <row r="802" spans="1:6" x14ac:dyDescent="0.25">
      <c r="A802" t="s">
        <v>412</v>
      </c>
      <c r="B802" t="s">
        <v>60</v>
      </c>
      <c r="C802" s="5" t="str">
        <f>" кв. "&amp;B802</f>
        <v xml:space="preserve"> кв. 56</v>
      </c>
      <c r="D802" s="5" t="str">
        <f>CONCATENATE(A802,C802)</f>
        <v>Беломорская ул., дом 7 к.1 кв. 56</v>
      </c>
      <c r="E802" s="3">
        <f>HYPERLINK("https://sao.dolgi.msk.ru/account/1404179347/", 1404179347)</f>
        <v>1404179347</v>
      </c>
      <c r="F802">
        <v>1009</v>
      </c>
    </row>
    <row r="803" spans="1:6" hidden="1" x14ac:dyDescent="0.25">
      <c r="A803" t="s">
        <v>412</v>
      </c>
      <c r="B803" t="s">
        <v>61</v>
      </c>
      <c r="E803" s="3">
        <f>HYPERLINK("https://sao.dolgi.msk.ru/account/1404178969/", 1404178969)</f>
        <v>1404178969</v>
      </c>
      <c r="F803">
        <v>-1392.47</v>
      </c>
    </row>
    <row r="804" spans="1:6" hidden="1" x14ac:dyDescent="0.25">
      <c r="A804" t="s">
        <v>412</v>
      </c>
      <c r="B804" t="s">
        <v>62</v>
      </c>
      <c r="E804" s="3">
        <f>HYPERLINK("https://sao.dolgi.msk.ru/account/1404179558/", 1404179558)</f>
        <v>1404179558</v>
      </c>
      <c r="F804">
        <v>-1719.42</v>
      </c>
    </row>
    <row r="805" spans="1:6" hidden="1" x14ac:dyDescent="0.25">
      <c r="A805" t="s">
        <v>412</v>
      </c>
      <c r="B805" t="s">
        <v>63</v>
      </c>
      <c r="E805" s="3">
        <f>HYPERLINK("https://sao.dolgi.msk.ru/account/1404179355/", 1404179355)</f>
        <v>1404179355</v>
      </c>
      <c r="F805">
        <v>-1719.42</v>
      </c>
    </row>
    <row r="806" spans="1:6" x14ac:dyDescent="0.25">
      <c r="A806" t="s">
        <v>412</v>
      </c>
      <c r="B806" t="s">
        <v>64</v>
      </c>
      <c r="C806" s="5" t="str">
        <f t="shared" ref="C806:C808" si="26">" кв. "&amp;B806</f>
        <v xml:space="preserve"> кв. 60</v>
      </c>
      <c r="D806" s="5" t="str">
        <f>CONCATENATE(A806,C806)</f>
        <v>Беломорская ул., дом 7 к.1 кв. 60</v>
      </c>
      <c r="E806" s="3">
        <f>HYPERLINK("https://sao.dolgi.msk.ru/account/1404179179/", 1404179179)</f>
        <v>1404179179</v>
      </c>
      <c r="F806">
        <v>251.46</v>
      </c>
    </row>
    <row r="807" spans="1:6" x14ac:dyDescent="0.25">
      <c r="A807" t="s">
        <v>412</v>
      </c>
      <c r="B807" t="s">
        <v>64</v>
      </c>
      <c r="C807" s="5" t="str">
        <f t="shared" si="26"/>
        <v xml:space="preserve"> кв. 60</v>
      </c>
      <c r="D807" s="5" t="str">
        <f>CONCATENATE(A807,C807)</f>
        <v>Беломорская ул., дом 7 к.1 кв. 60</v>
      </c>
      <c r="E807" s="3">
        <f>HYPERLINK("https://sao.dolgi.msk.ru/account/1404179451/", 1404179451)</f>
        <v>1404179451</v>
      </c>
      <c r="F807">
        <v>502.92</v>
      </c>
    </row>
    <row r="808" spans="1:6" x14ac:dyDescent="0.25">
      <c r="A808" t="s">
        <v>412</v>
      </c>
      <c r="B808" t="s">
        <v>65</v>
      </c>
      <c r="C808" s="5" t="str">
        <f t="shared" si="26"/>
        <v xml:space="preserve"> кв. 61</v>
      </c>
      <c r="D808" s="5" t="str">
        <f>CONCATENATE(A808,C808)</f>
        <v>Беломорская ул., дом 7 к.1 кв. 61</v>
      </c>
      <c r="E808" s="3">
        <f>HYPERLINK("https://sao.dolgi.msk.ru/account/1404178977/", 1404178977)</f>
        <v>1404178977</v>
      </c>
      <c r="F808">
        <v>1413.86</v>
      </c>
    </row>
    <row r="809" spans="1:6" hidden="1" x14ac:dyDescent="0.25">
      <c r="A809" t="s">
        <v>412</v>
      </c>
      <c r="B809" t="s">
        <v>66</v>
      </c>
      <c r="E809" s="3">
        <f>HYPERLINK("https://sao.dolgi.msk.ru/account/1404178854/", 1404178854)</f>
        <v>1404178854</v>
      </c>
      <c r="F809">
        <v>-1705.55</v>
      </c>
    </row>
    <row r="810" spans="1:6" x14ac:dyDescent="0.25">
      <c r="A810" t="s">
        <v>412</v>
      </c>
      <c r="B810" t="s">
        <v>67</v>
      </c>
      <c r="C810" s="5" t="str">
        <f t="shared" ref="C810:C811" si="27">" кв. "&amp;B810</f>
        <v xml:space="preserve"> кв. 63</v>
      </c>
      <c r="D810" s="5" t="str">
        <f>CONCATENATE(A810,C810)</f>
        <v>Беломорская ул., дом 7 к.1 кв. 63</v>
      </c>
      <c r="E810" s="3">
        <f>HYPERLINK("https://sao.dolgi.msk.ru/account/1404179187/", 1404179187)</f>
        <v>1404179187</v>
      </c>
      <c r="F810">
        <v>661.06</v>
      </c>
    </row>
    <row r="811" spans="1:6" x14ac:dyDescent="0.25">
      <c r="A811" t="s">
        <v>412</v>
      </c>
      <c r="B811" t="s">
        <v>68</v>
      </c>
      <c r="C811" s="5" t="str">
        <f t="shared" si="27"/>
        <v xml:space="preserve"> кв. 64</v>
      </c>
      <c r="D811" s="5" t="str">
        <f>CONCATENATE(A811,C811)</f>
        <v>Беломорская ул., дом 7 к.1 кв. 64</v>
      </c>
      <c r="E811" s="3">
        <f>HYPERLINK("https://sao.dolgi.msk.ru/account/1404179363/", 1404179363)</f>
        <v>1404179363</v>
      </c>
      <c r="F811">
        <v>1005.83</v>
      </c>
    </row>
    <row r="812" spans="1:6" hidden="1" x14ac:dyDescent="0.25">
      <c r="A812" t="s">
        <v>412</v>
      </c>
      <c r="B812" t="s">
        <v>69</v>
      </c>
      <c r="E812" s="3">
        <f>HYPERLINK("https://sao.dolgi.msk.ru/account/1404179101/", 1404179101)</f>
        <v>1404179101</v>
      </c>
      <c r="F812">
        <v>0</v>
      </c>
    </row>
    <row r="813" spans="1:6" hidden="1" x14ac:dyDescent="0.25">
      <c r="A813" t="s">
        <v>412</v>
      </c>
      <c r="B813" t="s">
        <v>70</v>
      </c>
      <c r="E813" s="3">
        <f>HYPERLINK("https://sao.dolgi.msk.ru/account/1404179259/", 1404179259)</f>
        <v>1404179259</v>
      </c>
      <c r="F813">
        <v>-1710.17</v>
      </c>
    </row>
    <row r="814" spans="1:6" hidden="1" x14ac:dyDescent="0.25">
      <c r="A814" t="s">
        <v>412</v>
      </c>
      <c r="B814" t="s">
        <v>71</v>
      </c>
      <c r="E814" s="3">
        <f>HYPERLINK("https://sao.dolgi.msk.ru/account/1404178985/", 1404178985)</f>
        <v>1404178985</v>
      </c>
      <c r="F814">
        <v>0</v>
      </c>
    </row>
    <row r="815" spans="1:6" hidden="1" x14ac:dyDescent="0.25">
      <c r="A815" t="s">
        <v>412</v>
      </c>
      <c r="B815" t="s">
        <v>72</v>
      </c>
      <c r="E815" s="3">
        <f>HYPERLINK("https://sao.dolgi.msk.ru/account/1404178993/", 1404178993)</f>
        <v>1404178993</v>
      </c>
      <c r="F815">
        <v>0</v>
      </c>
    </row>
    <row r="816" spans="1:6" hidden="1" x14ac:dyDescent="0.25">
      <c r="A816" t="s">
        <v>412</v>
      </c>
      <c r="B816" t="s">
        <v>73</v>
      </c>
      <c r="E816" s="3">
        <f>HYPERLINK("https://sao.dolgi.msk.ru/account/1404178766/", 1404178766)</f>
        <v>1404178766</v>
      </c>
      <c r="F816">
        <v>0</v>
      </c>
    </row>
    <row r="817" spans="1:6" x14ac:dyDescent="0.25">
      <c r="A817" t="s">
        <v>412</v>
      </c>
      <c r="B817" t="s">
        <v>74</v>
      </c>
      <c r="C817" s="5" t="str">
        <f>" кв. "&amp;B817</f>
        <v xml:space="preserve"> кв. 70</v>
      </c>
      <c r="D817" s="5" t="str">
        <f>CONCATENATE(A817,C817)</f>
        <v>Беломорская ул., дом 7 к.1 кв. 70</v>
      </c>
      <c r="E817" s="3">
        <f>HYPERLINK("https://sao.dolgi.msk.ru/account/1404179398/", 1404179398)</f>
        <v>1404179398</v>
      </c>
      <c r="F817">
        <v>1167.1500000000001</v>
      </c>
    </row>
    <row r="818" spans="1:6" hidden="1" x14ac:dyDescent="0.25">
      <c r="A818" t="s">
        <v>412</v>
      </c>
      <c r="B818" t="s">
        <v>75</v>
      </c>
      <c r="E818" s="3">
        <f>HYPERLINK("https://sao.dolgi.msk.ru/account/1404178862/", 1404178862)</f>
        <v>1404178862</v>
      </c>
      <c r="F818">
        <v>-1728.66</v>
      </c>
    </row>
    <row r="819" spans="1:6" hidden="1" x14ac:dyDescent="0.25">
      <c r="A819" t="s">
        <v>412</v>
      </c>
      <c r="B819" t="s">
        <v>76</v>
      </c>
      <c r="E819" s="3">
        <f>HYPERLINK("https://sao.dolgi.msk.ru/account/1404179419/", 1404179419)</f>
        <v>1404179419</v>
      </c>
      <c r="F819">
        <v>-1455.95</v>
      </c>
    </row>
    <row r="820" spans="1:6" hidden="1" x14ac:dyDescent="0.25">
      <c r="A820" t="s">
        <v>413</v>
      </c>
      <c r="B820" t="s">
        <v>77</v>
      </c>
      <c r="E820" s="3">
        <f>HYPERLINK("https://sao.dolgi.msk.ru/account/1404180233/", 1404180233)</f>
        <v>1404180233</v>
      </c>
      <c r="F820">
        <v>0</v>
      </c>
    </row>
    <row r="821" spans="1:6" hidden="1" x14ac:dyDescent="0.25">
      <c r="A821" t="s">
        <v>413</v>
      </c>
      <c r="B821" t="s">
        <v>78</v>
      </c>
      <c r="E821" s="3">
        <f>HYPERLINK("https://sao.dolgi.msk.ru/account/1404179662/", 1404179662)</f>
        <v>1404179662</v>
      </c>
      <c r="F821">
        <v>0</v>
      </c>
    </row>
    <row r="822" spans="1:6" x14ac:dyDescent="0.25">
      <c r="A822" t="s">
        <v>413</v>
      </c>
      <c r="B822" t="s">
        <v>80</v>
      </c>
      <c r="C822" s="5" t="str">
        <f>" кв. "&amp;B822</f>
        <v xml:space="preserve"> кв. 76</v>
      </c>
      <c r="D822" s="5" t="str">
        <f>CONCATENATE(A822,C822)</f>
        <v>Беломорская ул., дом 7 к.2 кв. 76</v>
      </c>
      <c r="E822" s="3">
        <f>HYPERLINK("https://sao.dolgi.msk.ru/account/1404180436/", 1404180436)</f>
        <v>1404180436</v>
      </c>
      <c r="F822">
        <v>837.4</v>
      </c>
    </row>
    <row r="823" spans="1:6" hidden="1" x14ac:dyDescent="0.25">
      <c r="A823" t="s">
        <v>413</v>
      </c>
      <c r="B823" t="s">
        <v>81</v>
      </c>
      <c r="E823" s="3">
        <f>HYPERLINK("https://sao.dolgi.msk.ru/account/1404180081/", 1404180081)</f>
        <v>1404180081</v>
      </c>
      <c r="F823">
        <v>-1290.24</v>
      </c>
    </row>
    <row r="824" spans="1:6" x14ac:dyDescent="0.25">
      <c r="A824" t="s">
        <v>413</v>
      </c>
      <c r="B824" t="s">
        <v>82</v>
      </c>
      <c r="C824" s="5" t="str">
        <f>" кв. "&amp;B824</f>
        <v xml:space="preserve"> кв. 78</v>
      </c>
      <c r="D824" s="5" t="str">
        <f>CONCATENATE(A824,C824)</f>
        <v>Беломорская ул., дом 7 к.2 кв. 78</v>
      </c>
      <c r="E824" s="3">
        <f>HYPERLINK("https://sao.dolgi.msk.ru/account/1404180508/", 1404180508)</f>
        <v>1404180508</v>
      </c>
      <c r="F824">
        <v>964.6</v>
      </c>
    </row>
    <row r="825" spans="1:6" hidden="1" x14ac:dyDescent="0.25">
      <c r="A825" t="s">
        <v>413</v>
      </c>
      <c r="B825" t="s">
        <v>83</v>
      </c>
      <c r="E825" s="3">
        <f>HYPERLINK("https://sao.dolgi.msk.ru/account/1404179902/", 1404179902)</f>
        <v>1404179902</v>
      </c>
      <c r="F825">
        <v>-1240.29</v>
      </c>
    </row>
    <row r="826" spans="1:6" hidden="1" x14ac:dyDescent="0.25">
      <c r="A826" t="s">
        <v>413</v>
      </c>
      <c r="B826" t="s">
        <v>84</v>
      </c>
      <c r="E826" s="3">
        <f>HYPERLINK("https://sao.dolgi.msk.ru/account/1404180399/", 1404180399)</f>
        <v>1404180399</v>
      </c>
      <c r="F826">
        <v>0</v>
      </c>
    </row>
    <row r="827" spans="1:6" x14ac:dyDescent="0.25">
      <c r="A827" t="s">
        <v>413</v>
      </c>
      <c r="B827" t="s">
        <v>85</v>
      </c>
      <c r="C827" s="5" t="str">
        <f t="shared" ref="C827:C828" si="28">" кв. "&amp;B827</f>
        <v xml:space="preserve"> кв. 81</v>
      </c>
      <c r="D827" s="5" t="str">
        <f>CONCATENATE(A827,C827)</f>
        <v>Беломорская ул., дом 7 к.2 кв. 81</v>
      </c>
      <c r="E827" s="3">
        <f>HYPERLINK("https://sao.dolgi.msk.ru/account/1404179734/", 1404179734)</f>
        <v>1404179734</v>
      </c>
      <c r="F827">
        <v>1012.16</v>
      </c>
    </row>
    <row r="828" spans="1:6" x14ac:dyDescent="0.25">
      <c r="A828" t="s">
        <v>413</v>
      </c>
      <c r="B828" t="s">
        <v>86</v>
      </c>
      <c r="C828" s="5" t="str">
        <f t="shared" si="28"/>
        <v xml:space="preserve"> кв. 82</v>
      </c>
      <c r="D828" s="5" t="str">
        <f>CONCATENATE(A828,C828)</f>
        <v>Беломорская ул., дом 7 к.2 кв. 82</v>
      </c>
      <c r="E828" s="3">
        <f>HYPERLINK("https://sao.dolgi.msk.ru/account/1404180153/", 1404180153)</f>
        <v>1404180153</v>
      </c>
      <c r="F828">
        <v>1167.1500000000001</v>
      </c>
    </row>
    <row r="829" spans="1:6" hidden="1" x14ac:dyDescent="0.25">
      <c r="A829" t="s">
        <v>413</v>
      </c>
      <c r="B829" t="s">
        <v>87</v>
      </c>
      <c r="E829" s="3">
        <f>HYPERLINK("https://sao.dolgi.msk.ru/account/1404180057/", 1404180057)</f>
        <v>1404180057</v>
      </c>
      <c r="F829">
        <v>0</v>
      </c>
    </row>
    <row r="830" spans="1:6" hidden="1" x14ac:dyDescent="0.25">
      <c r="A830" t="s">
        <v>413</v>
      </c>
      <c r="B830" t="s">
        <v>88</v>
      </c>
      <c r="E830" s="3">
        <f>HYPERLINK("https://sao.dolgi.msk.ru/account/1404180292/", 1404180292)</f>
        <v>1404180292</v>
      </c>
      <c r="F830">
        <v>0</v>
      </c>
    </row>
    <row r="831" spans="1:6" hidden="1" x14ac:dyDescent="0.25">
      <c r="A831" t="s">
        <v>413</v>
      </c>
      <c r="B831" t="s">
        <v>89</v>
      </c>
      <c r="E831" s="3">
        <f>HYPERLINK("https://sao.dolgi.msk.ru/account/1404180161/", 1404180161)</f>
        <v>1404180161</v>
      </c>
      <c r="F831">
        <v>-2042.95</v>
      </c>
    </row>
    <row r="832" spans="1:6" x14ac:dyDescent="0.25">
      <c r="A832" t="s">
        <v>413</v>
      </c>
      <c r="B832" t="s">
        <v>90</v>
      </c>
      <c r="C832" s="5" t="str">
        <f>" кв. "&amp;B832</f>
        <v xml:space="preserve"> кв. 86</v>
      </c>
      <c r="D832" s="5" t="str">
        <f>CONCATENATE(A832,C832)</f>
        <v>Беломорская ул., дом 7 к.2 кв. 86</v>
      </c>
      <c r="E832" s="3">
        <f>HYPERLINK("https://sao.dolgi.msk.ru/account/1404179929/", 1404179929)</f>
        <v>1404179929</v>
      </c>
      <c r="F832">
        <v>1173.47</v>
      </c>
    </row>
    <row r="833" spans="1:6" hidden="1" x14ac:dyDescent="0.25">
      <c r="A833" t="s">
        <v>413</v>
      </c>
      <c r="B833" t="s">
        <v>91</v>
      </c>
      <c r="E833" s="3">
        <f>HYPERLINK("https://sao.dolgi.msk.ru/account/1404180188/", 1404180188)</f>
        <v>1404180188</v>
      </c>
      <c r="F833">
        <v>-1714.79</v>
      </c>
    </row>
    <row r="834" spans="1:6" hidden="1" x14ac:dyDescent="0.25">
      <c r="A834" t="s">
        <v>413</v>
      </c>
      <c r="B834" t="s">
        <v>92</v>
      </c>
      <c r="E834" s="3">
        <f>HYPERLINK("https://sao.dolgi.msk.ru/account/1404180516/", 1404180516)</f>
        <v>1404180516</v>
      </c>
      <c r="F834">
        <v>-1226.1500000000001</v>
      </c>
    </row>
    <row r="835" spans="1:6" hidden="1" x14ac:dyDescent="0.25">
      <c r="A835" t="s">
        <v>413</v>
      </c>
      <c r="B835" t="s">
        <v>93</v>
      </c>
      <c r="E835" s="3">
        <f>HYPERLINK("https://sao.dolgi.msk.ru/account/1404179742/", 1404179742)</f>
        <v>1404179742</v>
      </c>
      <c r="F835">
        <v>-1420.46</v>
      </c>
    </row>
    <row r="836" spans="1:6" hidden="1" x14ac:dyDescent="0.25">
      <c r="A836" t="s">
        <v>413</v>
      </c>
      <c r="B836" t="s">
        <v>94</v>
      </c>
      <c r="E836" s="3">
        <f>HYPERLINK("https://sao.dolgi.msk.ru/account/1404180196/", 1404180196)</f>
        <v>1404180196</v>
      </c>
      <c r="F836">
        <v>-1687.06</v>
      </c>
    </row>
    <row r="837" spans="1:6" hidden="1" x14ac:dyDescent="0.25">
      <c r="A837" t="s">
        <v>413</v>
      </c>
      <c r="B837" t="s">
        <v>95</v>
      </c>
      <c r="E837" s="3">
        <f>HYPERLINK("https://sao.dolgi.msk.ru/account/1404180401/", 1404180401)</f>
        <v>1404180401</v>
      </c>
      <c r="F837">
        <v>0</v>
      </c>
    </row>
    <row r="838" spans="1:6" hidden="1" x14ac:dyDescent="0.25">
      <c r="A838" t="s">
        <v>413</v>
      </c>
      <c r="B838" t="s">
        <v>96</v>
      </c>
      <c r="E838" s="3">
        <f>HYPERLINK("https://sao.dolgi.msk.ru/account/1404180524/", 1404180524)</f>
        <v>1404180524</v>
      </c>
      <c r="F838">
        <v>-1460.57</v>
      </c>
    </row>
    <row r="839" spans="1:6" x14ac:dyDescent="0.25">
      <c r="A839" t="s">
        <v>413</v>
      </c>
      <c r="B839" t="s">
        <v>97</v>
      </c>
      <c r="C839" s="5" t="str">
        <f>" кв. "&amp;B839</f>
        <v xml:space="preserve"> кв. 93</v>
      </c>
      <c r="D839" s="5" t="str">
        <f>CONCATENATE(A839,C839)</f>
        <v>Беломорская ул., дом 7 к.2 кв. 93</v>
      </c>
      <c r="E839" s="3">
        <f>HYPERLINK("https://sao.dolgi.msk.ru/account/1404180065/", 1404180065)</f>
        <v>1404180065</v>
      </c>
      <c r="F839">
        <v>1413.86</v>
      </c>
    </row>
    <row r="840" spans="1:6" hidden="1" x14ac:dyDescent="0.25">
      <c r="A840" t="s">
        <v>413</v>
      </c>
      <c r="B840" t="s">
        <v>98</v>
      </c>
      <c r="E840" s="3">
        <f>HYPERLINK("https://sao.dolgi.msk.ru/account/1404179849/", 1404179849)</f>
        <v>1404179849</v>
      </c>
      <c r="F840">
        <v>-1691.68</v>
      </c>
    </row>
    <row r="841" spans="1:6" hidden="1" x14ac:dyDescent="0.25">
      <c r="A841" t="s">
        <v>413</v>
      </c>
      <c r="B841" t="s">
        <v>99</v>
      </c>
      <c r="E841" s="3">
        <f>HYPERLINK("https://sao.dolgi.msk.ru/account/1404180209/", 1404180209)</f>
        <v>1404180209</v>
      </c>
      <c r="F841">
        <v>-363.6</v>
      </c>
    </row>
    <row r="842" spans="1:6" hidden="1" x14ac:dyDescent="0.25">
      <c r="A842" t="s">
        <v>413</v>
      </c>
      <c r="B842" t="s">
        <v>100</v>
      </c>
      <c r="E842" s="3">
        <f>HYPERLINK("https://sao.dolgi.msk.ru/account/1404180428/", 1404180428)</f>
        <v>1404180428</v>
      </c>
      <c r="F842">
        <v>0</v>
      </c>
    </row>
    <row r="843" spans="1:6" hidden="1" x14ac:dyDescent="0.25">
      <c r="A843" t="s">
        <v>413</v>
      </c>
      <c r="B843" t="s">
        <v>101</v>
      </c>
      <c r="E843" s="3">
        <f>HYPERLINK("https://sao.dolgi.msk.ru/account/1404179937/", 1404179937)</f>
        <v>1404179937</v>
      </c>
      <c r="F843">
        <v>-1488.31</v>
      </c>
    </row>
    <row r="844" spans="1:6" x14ac:dyDescent="0.25">
      <c r="A844" t="s">
        <v>413</v>
      </c>
      <c r="B844" t="s">
        <v>102</v>
      </c>
      <c r="C844" s="5" t="str">
        <f>" кв. "&amp;B844</f>
        <v xml:space="preserve"> кв. 98</v>
      </c>
      <c r="D844" s="5" t="str">
        <f>CONCATENATE(A844,C844)</f>
        <v>Беломорская ул., дом 7 к.2 кв. 98</v>
      </c>
      <c r="E844" s="3">
        <f>HYPERLINK("https://sao.dolgi.msk.ru/account/1404179857/", 1404179857)</f>
        <v>1404179857</v>
      </c>
      <c r="F844">
        <v>642.08000000000004</v>
      </c>
    </row>
    <row r="845" spans="1:6" hidden="1" x14ac:dyDescent="0.25">
      <c r="A845" t="s">
        <v>413</v>
      </c>
      <c r="B845" t="s">
        <v>103</v>
      </c>
      <c r="E845" s="3">
        <f>HYPERLINK("https://sao.dolgi.msk.ru/account/1404180305/", 1404180305)</f>
        <v>1404180305</v>
      </c>
      <c r="F845">
        <v>-1705.55</v>
      </c>
    </row>
    <row r="846" spans="1:6" hidden="1" x14ac:dyDescent="0.25">
      <c r="A846" t="s">
        <v>413</v>
      </c>
      <c r="B846" t="s">
        <v>104</v>
      </c>
      <c r="E846" s="3">
        <f>HYPERLINK("https://sao.dolgi.msk.ru/account/1404180364/", 1404180364)</f>
        <v>1404180364</v>
      </c>
      <c r="F846">
        <v>0</v>
      </c>
    </row>
    <row r="847" spans="1:6" x14ac:dyDescent="0.25">
      <c r="A847" t="s">
        <v>413</v>
      </c>
      <c r="B847" t="s">
        <v>105</v>
      </c>
      <c r="C847" s="5" t="str">
        <f>" кв. "&amp;B847</f>
        <v xml:space="preserve"> кв. 101</v>
      </c>
      <c r="D847" s="5" t="str">
        <f>CONCATENATE(A847,C847)</f>
        <v>Беломорская ул., дом 7 к.2 кв. 101</v>
      </c>
      <c r="E847" s="3">
        <f>HYPERLINK("https://sao.dolgi.msk.ru/account/1404179697/", 1404179697)</f>
        <v>1404179697</v>
      </c>
      <c r="F847">
        <v>1404.37</v>
      </c>
    </row>
    <row r="848" spans="1:6" hidden="1" x14ac:dyDescent="0.25">
      <c r="A848" t="s">
        <v>413</v>
      </c>
      <c r="B848" t="s">
        <v>106</v>
      </c>
      <c r="E848" s="3">
        <f>HYPERLINK("https://sao.dolgi.msk.ru/account/1404179814/", 1404179814)</f>
        <v>1404179814</v>
      </c>
      <c r="F848">
        <v>-1710.17</v>
      </c>
    </row>
    <row r="849" spans="1:6" hidden="1" x14ac:dyDescent="0.25">
      <c r="A849" t="s">
        <v>413</v>
      </c>
      <c r="B849" t="s">
        <v>107</v>
      </c>
      <c r="E849" s="3">
        <f>HYPERLINK("https://sao.dolgi.msk.ru/account/1404179718/", 1404179718)</f>
        <v>1404179718</v>
      </c>
      <c r="F849">
        <v>-1757.54</v>
      </c>
    </row>
    <row r="850" spans="1:6" x14ac:dyDescent="0.25">
      <c r="A850" t="s">
        <v>413</v>
      </c>
      <c r="B850" t="s">
        <v>108</v>
      </c>
      <c r="C850" s="5" t="str">
        <f>" кв. "&amp;B850</f>
        <v xml:space="preserve"> кв. 104</v>
      </c>
      <c r="D850" s="5" t="str">
        <f>CONCATENATE(A850,C850)</f>
        <v>Беломорская ул., дом 7 к.2 кв. 104</v>
      </c>
      <c r="E850" s="3">
        <f>HYPERLINK("https://sao.dolgi.msk.ru/account/1404180049/", 1404180049)</f>
        <v>1404180049</v>
      </c>
      <c r="F850">
        <v>996.35</v>
      </c>
    </row>
    <row r="851" spans="1:6" hidden="1" x14ac:dyDescent="0.25">
      <c r="A851" t="s">
        <v>413</v>
      </c>
      <c r="B851" t="s">
        <v>109</v>
      </c>
      <c r="E851" s="3">
        <f>HYPERLINK("https://sao.dolgi.msk.ru/account/1404179726/", 1404179726)</f>
        <v>1404179726</v>
      </c>
      <c r="F851">
        <v>-1455.95</v>
      </c>
    </row>
    <row r="852" spans="1:6" hidden="1" x14ac:dyDescent="0.25">
      <c r="A852" t="s">
        <v>413</v>
      </c>
      <c r="B852" t="s">
        <v>110</v>
      </c>
      <c r="E852" s="3">
        <f>HYPERLINK("https://sao.dolgi.msk.ru/account/1404179822/", 1404179822)</f>
        <v>1404179822</v>
      </c>
      <c r="F852">
        <v>-1691.68</v>
      </c>
    </row>
    <row r="853" spans="1:6" hidden="1" x14ac:dyDescent="0.25">
      <c r="A853" t="s">
        <v>413</v>
      </c>
      <c r="B853" t="s">
        <v>111</v>
      </c>
      <c r="E853" s="3">
        <f>HYPERLINK("https://sao.dolgi.msk.ru/account/1404180372/", 1404180372)</f>
        <v>1404180372</v>
      </c>
      <c r="F853">
        <v>-1700.92</v>
      </c>
    </row>
    <row r="854" spans="1:6" x14ac:dyDescent="0.25">
      <c r="A854" t="s">
        <v>413</v>
      </c>
      <c r="B854" t="s">
        <v>112</v>
      </c>
      <c r="C854" s="5" t="str">
        <f>" кв. "&amp;B854</f>
        <v xml:space="preserve"> кв. 108</v>
      </c>
      <c r="D854" s="5" t="str">
        <f>CONCATENATE(A854,C854)</f>
        <v>Беломорская ул., дом 7 к.2 кв. 108</v>
      </c>
      <c r="E854" s="3">
        <f>HYPERLINK("https://sao.dolgi.msk.ru/account/1404179793/", 1404179793)</f>
        <v>1404179793</v>
      </c>
      <c r="F854">
        <v>1005.83</v>
      </c>
    </row>
    <row r="855" spans="1:6" hidden="1" x14ac:dyDescent="0.25">
      <c r="A855" t="s">
        <v>413</v>
      </c>
      <c r="B855" t="s">
        <v>113</v>
      </c>
      <c r="E855" s="3">
        <f>HYPERLINK("https://sao.dolgi.msk.ru/account/1404179806/", 1404179806)</f>
        <v>1404179806</v>
      </c>
      <c r="F855">
        <v>-2639.36</v>
      </c>
    </row>
    <row r="856" spans="1:6" x14ac:dyDescent="0.25">
      <c r="A856" t="s">
        <v>413</v>
      </c>
      <c r="B856" t="s">
        <v>114</v>
      </c>
      <c r="C856" s="5" t="str">
        <f t="shared" ref="C856:C858" si="29">" кв. "&amp;B856</f>
        <v xml:space="preserve"> кв. 110</v>
      </c>
      <c r="D856" s="5" t="str">
        <f>CONCATENATE(A856,C856)</f>
        <v>Беломорская ул., дом 7 к.2 кв. 110</v>
      </c>
      <c r="E856" s="3">
        <f>HYPERLINK("https://sao.dolgi.msk.ru/account/1404180495/", 1404180495)</f>
        <v>1404180495</v>
      </c>
      <c r="F856">
        <v>1167.1500000000001</v>
      </c>
    </row>
    <row r="857" spans="1:6" x14ac:dyDescent="0.25">
      <c r="A857" t="s">
        <v>413</v>
      </c>
      <c r="B857" t="s">
        <v>115</v>
      </c>
      <c r="C857" s="5" t="str">
        <f t="shared" si="29"/>
        <v xml:space="preserve"> кв. 111</v>
      </c>
      <c r="D857" s="5" t="str">
        <f>CONCATENATE(A857,C857)</f>
        <v>Беломорская ул., дом 7 к.2 кв. 111</v>
      </c>
      <c r="E857" s="3">
        <f>HYPERLINK("https://sao.dolgi.msk.ru/account/1404180014/", 1404180014)</f>
        <v>1404180014</v>
      </c>
      <c r="F857">
        <v>1160.82</v>
      </c>
    </row>
    <row r="858" spans="1:6" x14ac:dyDescent="0.25">
      <c r="A858" t="s">
        <v>413</v>
      </c>
      <c r="B858" t="s">
        <v>116</v>
      </c>
      <c r="C858" s="5" t="str">
        <f t="shared" si="29"/>
        <v xml:space="preserve"> кв. 112</v>
      </c>
      <c r="D858" s="5" t="str">
        <f>CONCATENATE(A858,C858)</f>
        <v>Беломорская ул., дом 7 к.2 кв. 112</v>
      </c>
      <c r="E858" s="3">
        <f>HYPERLINK("https://sao.dolgi.msk.ru/account/1404180022/", 1404180022)</f>
        <v>1404180022</v>
      </c>
      <c r="F858">
        <v>1002.67</v>
      </c>
    </row>
    <row r="859" spans="1:6" hidden="1" x14ac:dyDescent="0.25">
      <c r="A859" t="s">
        <v>413</v>
      </c>
      <c r="B859" t="s">
        <v>117</v>
      </c>
      <c r="E859" s="3">
        <f>HYPERLINK("https://sao.dolgi.msk.ru/account/1404180356/", 1404180356)</f>
        <v>1404180356</v>
      </c>
      <c r="F859">
        <v>0</v>
      </c>
    </row>
    <row r="860" spans="1:6" hidden="1" x14ac:dyDescent="0.25">
      <c r="A860" t="s">
        <v>413</v>
      </c>
      <c r="B860" t="s">
        <v>118</v>
      </c>
      <c r="E860" s="3">
        <f>HYPERLINK("https://sao.dolgi.msk.ru/account/1404180276/", 1404180276)</f>
        <v>1404180276</v>
      </c>
      <c r="F860">
        <v>-933.66</v>
      </c>
    </row>
    <row r="861" spans="1:6" hidden="1" x14ac:dyDescent="0.25">
      <c r="A861" t="s">
        <v>413</v>
      </c>
      <c r="B861" t="s">
        <v>119</v>
      </c>
      <c r="E861" s="3">
        <f>HYPERLINK("https://sao.dolgi.msk.ru/account/1404180284/", 1404180284)</f>
        <v>1404180284</v>
      </c>
      <c r="F861">
        <v>-1272.23</v>
      </c>
    </row>
    <row r="862" spans="1:6" hidden="1" x14ac:dyDescent="0.25">
      <c r="A862" t="s">
        <v>413</v>
      </c>
      <c r="B862" t="s">
        <v>120</v>
      </c>
      <c r="E862" s="3">
        <f>HYPERLINK("https://sao.dolgi.msk.ru/account/1404179865/", 1404179865)</f>
        <v>1404179865</v>
      </c>
      <c r="F862">
        <v>-1233.93</v>
      </c>
    </row>
    <row r="863" spans="1:6" hidden="1" x14ac:dyDescent="0.25">
      <c r="A863" t="s">
        <v>413</v>
      </c>
      <c r="B863" t="s">
        <v>121</v>
      </c>
      <c r="E863" s="3">
        <f>HYPERLINK("https://sao.dolgi.msk.ru/account/1404180452/", 1404180452)</f>
        <v>1404180452</v>
      </c>
      <c r="F863">
        <v>-1724.39</v>
      </c>
    </row>
    <row r="864" spans="1:6" hidden="1" x14ac:dyDescent="0.25">
      <c r="A864" t="s">
        <v>413</v>
      </c>
      <c r="B864" t="s">
        <v>122</v>
      </c>
      <c r="E864" s="3">
        <f>HYPERLINK("https://sao.dolgi.msk.ru/account/1404180321/", 1404180321)</f>
        <v>1404180321</v>
      </c>
      <c r="F864">
        <v>-1705.55</v>
      </c>
    </row>
    <row r="865" spans="1:6" x14ac:dyDescent="0.25">
      <c r="A865" t="s">
        <v>413</v>
      </c>
      <c r="B865" t="s">
        <v>123</v>
      </c>
      <c r="C865" s="5" t="str">
        <f>" кв. "&amp;B865</f>
        <v xml:space="preserve"> кв. 119</v>
      </c>
      <c r="D865" s="5" t="str">
        <f>CONCATENATE(A865,C865)</f>
        <v>Беломорская ул., дом 7 к.2 кв. 119</v>
      </c>
      <c r="E865" s="3">
        <f>HYPERLINK("https://sao.dolgi.msk.ru/account/1404179873/", 1404179873)</f>
        <v>1404179873</v>
      </c>
      <c r="F865">
        <v>1179.8</v>
      </c>
    </row>
    <row r="866" spans="1:6" hidden="1" x14ac:dyDescent="0.25">
      <c r="A866" t="s">
        <v>413</v>
      </c>
      <c r="B866" t="s">
        <v>124</v>
      </c>
      <c r="E866" s="3">
        <f>HYPERLINK("https://sao.dolgi.msk.ru/account/1404179953/", 1404179953)</f>
        <v>1404179953</v>
      </c>
      <c r="F866">
        <v>-1460.57</v>
      </c>
    </row>
    <row r="867" spans="1:6" hidden="1" x14ac:dyDescent="0.25">
      <c r="A867" t="s">
        <v>413</v>
      </c>
      <c r="B867" t="s">
        <v>125</v>
      </c>
      <c r="E867" s="3">
        <f>HYPERLINK("https://sao.dolgi.msk.ru/account/1404179777/", 1404179777)</f>
        <v>1404179777</v>
      </c>
      <c r="F867">
        <v>0</v>
      </c>
    </row>
    <row r="868" spans="1:6" hidden="1" x14ac:dyDescent="0.25">
      <c r="A868" t="s">
        <v>413</v>
      </c>
      <c r="B868" t="s">
        <v>126</v>
      </c>
      <c r="E868" s="3">
        <f>HYPERLINK("https://sao.dolgi.msk.ru/account/1404180129/", 1404180129)</f>
        <v>1404180129</v>
      </c>
      <c r="F868">
        <v>-1401.3</v>
      </c>
    </row>
    <row r="869" spans="1:6" hidden="1" x14ac:dyDescent="0.25">
      <c r="A869" t="s">
        <v>413</v>
      </c>
      <c r="B869" t="s">
        <v>127</v>
      </c>
      <c r="E869" s="3">
        <f>HYPERLINK("https://sao.dolgi.msk.ru/account/1404179881/", 1404179881)</f>
        <v>1404179881</v>
      </c>
      <c r="F869">
        <v>-1424.68</v>
      </c>
    </row>
    <row r="870" spans="1:6" hidden="1" x14ac:dyDescent="0.25">
      <c r="A870" t="s">
        <v>413</v>
      </c>
      <c r="B870" t="s">
        <v>128</v>
      </c>
      <c r="E870" s="3">
        <f>HYPERLINK("https://sao.dolgi.msk.ru/account/1404180137/", 1404180137)</f>
        <v>1404180137</v>
      </c>
      <c r="F870">
        <v>0</v>
      </c>
    </row>
    <row r="871" spans="1:6" x14ac:dyDescent="0.25">
      <c r="A871" t="s">
        <v>413</v>
      </c>
      <c r="B871" t="s">
        <v>129</v>
      </c>
      <c r="C871" s="5" t="str">
        <f t="shared" ref="C871:C873" si="30">" кв. "&amp;B871</f>
        <v xml:space="preserve"> кв. 125</v>
      </c>
      <c r="D871" s="5" t="str">
        <f>CONCATENATE(A871,C871)</f>
        <v>Беломорская ул., дом 7 к.2 кв. 125</v>
      </c>
      <c r="E871" s="3">
        <f>HYPERLINK("https://sao.dolgi.msk.ru/account/1404179689/", 1404179689)</f>
        <v>1404179689</v>
      </c>
      <c r="F871">
        <v>1410.7</v>
      </c>
    </row>
    <row r="872" spans="1:6" x14ac:dyDescent="0.25">
      <c r="A872" t="s">
        <v>413</v>
      </c>
      <c r="B872" t="s">
        <v>130</v>
      </c>
      <c r="C872" s="5" t="str">
        <f t="shared" si="30"/>
        <v xml:space="preserve"> кв. 126</v>
      </c>
      <c r="D872" s="5" t="str">
        <f>CONCATENATE(A872,C872)</f>
        <v>Беломорская ул., дом 7 к.2 кв. 126</v>
      </c>
      <c r="E872" s="3">
        <f>HYPERLINK("https://sao.dolgi.msk.ru/account/1404180479/", 1404180479)</f>
        <v>1404180479</v>
      </c>
      <c r="F872">
        <v>212.61</v>
      </c>
    </row>
    <row r="873" spans="1:6" x14ac:dyDescent="0.25">
      <c r="A873" t="s">
        <v>413</v>
      </c>
      <c r="B873" t="s">
        <v>131</v>
      </c>
      <c r="C873" s="5" t="str">
        <f t="shared" si="30"/>
        <v xml:space="preserve"> кв. 127</v>
      </c>
      <c r="D873" s="5" t="str">
        <f>CONCATENATE(A873,C873)</f>
        <v>Беломорская ул., дом 7 к.2 кв. 127</v>
      </c>
      <c r="E873" s="3">
        <f>HYPERLINK("https://sao.dolgi.msk.ru/account/1404179961/", 1404179961)</f>
        <v>1404179961</v>
      </c>
      <c r="F873">
        <v>1157.6600000000001</v>
      </c>
    </row>
    <row r="874" spans="1:6" hidden="1" x14ac:dyDescent="0.25">
      <c r="A874" t="s">
        <v>413</v>
      </c>
      <c r="B874" t="s">
        <v>132</v>
      </c>
      <c r="E874" s="3">
        <f>HYPERLINK("https://sao.dolgi.msk.ru/account/1404180348/", 1404180348)</f>
        <v>1404180348</v>
      </c>
      <c r="F874">
        <v>-727.98</v>
      </c>
    </row>
    <row r="875" spans="1:6" hidden="1" x14ac:dyDescent="0.25">
      <c r="A875" t="s">
        <v>413</v>
      </c>
      <c r="B875" t="s">
        <v>133</v>
      </c>
      <c r="E875" s="3">
        <f>HYPERLINK("https://sao.dolgi.msk.ru/account/1404179785/", 1404179785)</f>
        <v>1404179785</v>
      </c>
      <c r="F875">
        <v>0</v>
      </c>
    </row>
    <row r="876" spans="1:6" hidden="1" x14ac:dyDescent="0.25">
      <c r="A876" t="s">
        <v>413</v>
      </c>
      <c r="B876" t="s">
        <v>134</v>
      </c>
      <c r="E876" s="3">
        <f>HYPERLINK("https://sao.dolgi.msk.ru/account/1404179988/", 1404179988)</f>
        <v>1404179988</v>
      </c>
      <c r="F876">
        <v>-1687.06</v>
      </c>
    </row>
    <row r="877" spans="1:6" hidden="1" x14ac:dyDescent="0.25">
      <c r="A877" t="s">
        <v>413</v>
      </c>
      <c r="B877" t="s">
        <v>135</v>
      </c>
      <c r="E877" s="3">
        <f>HYPERLINK("https://sao.dolgi.msk.ru/account/1404180145/", 1404180145)</f>
        <v>1404180145</v>
      </c>
      <c r="F877">
        <v>0</v>
      </c>
    </row>
    <row r="878" spans="1:6" hidden="1" x14ac:dyDescent="0.25">
      <c r="A878" t="s">
        <v>413</v>
      </c>
      <c r="B878" t="s">
        <v>136</v>
      </c>
      <c r="E878" s="3">
        <f>HYPERLINK("https://sao.dolgi.msk.ru/account/1404180487/", 1404180487)</f>
        <v>1404180487</v>
      </c>
      <c r="F878">
        <v>-1230.03</v>
      </c>
    </row>
    <row r="879" spans="1:6" x14ac:dyDescent="0.25">
      <c r="A879" t="s">
        <v>413</v>
      </c>
      <c r="B879" t="s">
        <v>137</v>
      </c>
      <c r="C879" s="5" t="str">
        <f>" кв. "&amp;B879</f>
        <v xml:space="preserve"> кв. 133</v>
      </c>
      <c r="D879" s="5" t="str">
        <f>CONCATENATE(A879,C879)</f>
        <v>Беломорская ул., дом 7 к.2 кв. 133</v>
      </c>
      <c r="E879" s="3">
        <f>HYPERLINK("https://sao.dolgi.msk.ru/account/1404179996/", 1404179996)</f>
        <v>1404179996</v>
      </c>
      <c r="F879">
        <v>1401.21</v>
      </c>
    </row>
    <row r="880" spans="1:6" hidden="1" x14ac:dyDescent="0.25">
      <c r="A880" t="s">
        <v>413</v>
      </c>
      <c r="B880" t="s">
        <v>138</v>
      </c>
      <c r="E880" s="3">
        <f>HYPERLINK("https://sao.dolgi.msk.ru/account/1404180006/", 1404180006)</f>
        <v>1404180006</v>
      </c>
      <c r="F880">
        <v>-1700.92</v>
      </c>
    </row>
    <row r="881" spans="1:6" hidden="1" x14ac:dyDescent="0.25">
      <c r="A881" t="s">
        <v>413</v>
      </c>
      <c r="B881" t="s">
        <v>139</v>
      </c>
      <c r="E881" s="3">
        <f>HYPERLINK("https://sao.dolgi.msk.ru/account/1404180241/", 1404180241)</f>
        <v>1404180241</v>
      </c>
      <c r="F881">
        <v>-1696.3</v>
      </c>
    </row>
    <row r="882" spans="1:6" x14ac:dyDescent="0.25">
      <c r="A882" t="s">
        <v>413</v>
      </c>
      <c r="B882" t="s">
        <v>140</v>
      </c>
      <c r="C882" s="5" t="str">
        <f>" кв. "&amp;B882</f>
        <v xml:space="preserve"> кв. 136</v>
      </c>
      <c r="D882" s="5" t="str">
        <f>CONCATENATE(A882,C882)</f>
        <v>Беломорская ул., дом 7 к.2 кв. 136</v>
      </c>
      <c r="E882" s="3">
        <f>HYPERLINK("https://sao.dolgi.msk.ru/account/1404179769/", 1404179769)</f>
        <v>1404179769</v>
      </c>
      <c r="F882">
        <v>999.51</v>
      </c>
    </row>
    <row r="883" spans="1:6" hidden="1" x14ac:dyDescent="0.25">
      <c r="A883" t="s">
        <v>413</v>
      </c>
      <c r="B883" t="s">
        <v>141</v>
      </c>
      <c r="E883" s="3">
        <f>HYPERLINK("https://sao.dolgi.msk.ru/account/1404179945/", 1404179945)</f>
        <v>1404179945</v>
      </c>
      <c r="F883">
        <v>0</v>
      </c>
    </row>
    <row r="884" spans="1:6" hidden="1" x14ac:dyDescent="0.25">
      <c r="A884" t="s">
        <v>413</v>
      </c>
      <c r="B884" t="s">
        <v>142</v>
      </c>
      <c r="E884" s="3">
        <f>HYPERLINK("https://sao.dolgi.msk.ru/account/1404180444/", 1404180444)</f>
        <v>1404180444</v>
      </c>
      <c r="F884">
        <v>-1729.8</v>
      </c>
    </row>
    <row r="885" spans="1:6" hidden="1" x14ac:dyDescent="0.25">
      <c r="A885" t="s">
        <v>413</v>
      </c>
      <c r="B885" t="s">
        <v>143</v>
      </c>
      <c r="E885" s="3">
        <f>HYPERLINK("https://sao.dolgi.msk.ru/account/1404180268/", 1404180268)</f>
        <v>1404180268</v>
      </c>
      <c r="F885">
        <v>0</v>
      </c>
    </row>
    <row r="886" spans="1:6" hidden="1" x14ac:dyDescent="0.25">
      <c r="A886" t="s">
        <v>413</v>
      </c>
      <c r="B886" t="s">
        <v>144</v>
      </c>
      <c r="E886" s="3">
        <f>HYPERLINK("https://sao.dolgi.msk.ru/account/1404180102/", 1404180102)</f>
        <v>1404180102</v>
      </c>
      <c r="F886">
        <v>-1465.19</v>
      </c>
    </row>
    <row r="887" spans="1:6" hidden="1" x14ac:dyDescent="0.25">
      <c r="A887" t="s">
        <v>413</v>
      </c>
      <c r="B887" t="s">
        <v>145</v>
      </c>
      <c r="E887" s="3">
        <f>HYPERLINK("https://sao.dolgi.msk.ru/account/1404180313/", 1404180313)</f>
        <v>1404180313</v>
      </c>
      <c r="F887">
        <v>-2052.19</v>
      </c>
    </row>
    <row r="888" spans="1:6" hidden="1" x14ac:dyDescent="0.25">
      <c r="A888" t="s">
        <v>413</v>
      </c>
      <c r="B888" t="s">
        <v>146</v>
      </c>
      <c r="E888" s="3">
        <f>HYPERLINK("https://sao.dolgi.msk.ru/account/1404180217/", 1404180217)</f>
        <v>1404180217</v>
      </c>
      <c r="F888">
        <v>-881.24</v>
      </c>
    </row>
    <row r="889" spans="1:6" hidden="1" x14ac:dyDescent="0.25">
      <c r="A889" t="s">
        <v>413</v>
      </c>
      <c r="B889" t="s">
        <v>147</v>
      </c>
      <c r="E889" s="3">
        <f>HYPERLINK("https://sao.dolgi.msk.ru/account/1404180073/", 1404180073)</f>
        <v>1404180073</v>
      </c>
      <c r="F889">
        <v>-1436.35</v>
      </c>
    </row>
    <row r="890" spans="1:6" hidden="1" x14ac:dyDescent="0.25">
      <c r="A890" t="s">
        <v>413</v>
      </c>
      <c r="B890" t="s">
        <v>148</v>
      </c>
      <c r="E890" s="3">
        <f>HYPERLINK("https://sao.dolgi.msk.ru/account/1404180225/", 1404180225)</f>
        <v>1404180225</v>
      </c>
      <c r="F890">
        <v>-975.48</v>
      </c>
    </row>
    <row r="891" spans="1:6" hidden="1" x14ac:dyDescent="0.25">
      <c r="A891" t="s">
        <v>414</v>
      </c>
      <c r="B891" t="s">
        <v>5</v>
      </c>
      <c r="E891" s="3">
        <f>HYPERLINK("https://sao.dolgi.msk.ru/account/1404180903/", 1404180903)</f>
        <v>1404180903</v>
      </c>
      <c r="F891">
        <v>-1290.24</v>
      </c>
    </row>
    <row r="892" spans="1:6" hidden="1" x14ac:dyDescent="0.25">
      <c r="A892" t="s">
        <v>414</v>
      </c>
      <c r="B892" t="s">
        <v>6</v>
      </c>
      <c r="E892" s="3">
        <f>HYPERLINK("https://sao.dolgi.msk.ru/account/1404181009/", 1404181009)</f>
        <v>1404181009</v>
      </c>
      <c r="F892">
        <v>-1503.92</v>
      </c>
    </row>
    <row r="893" spans="1:6" hidden="1" x14ac:dyDescent="0.25">
      <c r="A893" t="s">
        <v>414</v>
      </c>
      <c r="B893" t="s">
        <v>7</v>
      </c>
      <c r="E893" s="3">
        <f>HYPERLINK("https://sao.dolgi.msk.ru/account/1404180778/", 1404180778)</f>
        <v>1404180778</v>
      </c>
      <c r="F893">
        <v>0</v>
      </c>
    </row>
    <row r="894" spans="1:6" hidden="1" x14ac:dyDescent="0.25">
      <c r="A894" t="s">
        <v>414</v>
      </c>
      <c r="B894" t="s">
        <v>8</v>
      </c>
      <c r="E894" s="3">
        <f>HYPERLINK("https://sao.dolgi.msk.ru/account/1404181092/", 1404181092)</f>
        <v>1404181092</v>
      </c>
      <c r="F894">
        <v>-1314.9</v>
      </c>
    </row>
    <row r="895" spans="1:6" x14ac:dyDescent="0.25">
      <c r="A895" t="s">
        <v>414</v>
      </c>
      <c r="B895" t="s">
        <v>9</v>
      </c>
      <c r="C895" s="5" t="str">
        <f t="shared" ref="C895:C896" si="31">" кв. "&amp;B895</f>
        <v xml:space="preserve"> кв. 5</v>
      </c>
      <c r="D895" s="5" t="str">
        <f>CONCATENATE(A895,C895)</f>
        <v>Беломорская ул., дом 7 к.3 кв. 5</v>
      </c>
      <c r="E895" s="3">
        <f>HYPERLINK("https://sao.dolgi.msk.ru/account/1404181199/", 1404181199)</f>
        <v>1404181199</v>
      </c>
      <c r="F895">
        <v>840.05</v>
      </c>
    </row>
    <row r="896" spans="1:6" x14ac:dyDescent="0.25">
      <c r="A896" t="s">
        <v>414</v>
      </c>
      <c r="B896" t="s">
        <v>10</v>
      </c>
      <c r="C896" s="5" t="str">
        <f t="shared" si="31"/>
        <v xml:space="preserve"> кв. 6</v>
      </c>
      <c r="D896" s="5" t="str">
        <f>CONCATENATE(A896,C896)</f>
        <v>Беломорская ул., дом 7 к.3 кв. 6</v>
      </c>
      <c r="E896" s="3">
        <f>HYPERLINK("https://sao.dolgi.msk.ru/account/1404181359/", 1404181359)</f>
        <v>1404181359</v>
      </c>
      <c r="F896">
        <v>967.25</v>
      </c>
    </row>
    <row r="897" spans="1:6" hidden="1" x14ac:dyDescent="0.25">
      <c r="A897" t="s">
        <v>414</v>
      </c>
      <c r="B897" t="s">
        <v>11</v>
      </c>
      <c r="E897" s="3">
        <f>HYPERLINK("https://sao.dolgi.msk.ru/account/1404181228/", 1404181228)</f>
        <v>1404181228</v>
      </c>
      <c r="F897">
        <v>0</v>
      </c>
    </row>
    <row r="898" spans="1:6" hidden="1" x14ac:dyDescent="0.25">
      <c r="A898" t="s">
        <v>414</v>
      </c>
      <c r="B898" t="s">
        <v>11</v>
      </c>
      <c r="E898" s="3">
        <f>HYPERLINK("https://sao.dolgi.msk.ru/account/1404181244/", 1404181244)</f>
        <v>1404181244</v>
      </c>
      <c r="F898">
        <v>-618.45000000000005</v>
      </c>
    </row>
    <row r="899" spans="1:6" hidden="1" x14ac:dyDescent="0.25">
      <c r="A899" t="s">
        <v>414</v>
      </c>
      <c r="B899" t="s">
        <v>12</v>
      </c>
      <c r="E899" s="3">
        <f>HYPERLINK("https://sao.dolgi.msk.ru/account/1404180962/", 1404180962)</f>
        <v>1404180962</v>
      </c>
      <c r="F899">
        <v>0</v>
      </c>
    </row>
    <row r="900" spans="1:6" x14ac:dyDescent="0.25">
      <c r="A900" t="s">
        <v>414</v>
      </c>
      <c r="B900" t="s">
        <v>13</v>
      </c>
      <c r="C900" s="5" t="str">
        <f t="shared" ref="C900:C901" si="32">" кв. "&amp;B900</f>
        <v xml:space="preserve"> кв. 9</v>
      </c>
      <c r="D900" s="5" t="str">
        <f>CONCATENATE(A900,C900)</f>
        <v>Беломорская ул., дом 7 к.3 кв. 9</v>
      </c>
      <c r="E900" s="3">
        <f>HYPERLINK("https://sao.dolgi.msk.ru/account/1404180612/", 1404180612)</f>
        <v>1404180612</v>
      </c>
      <c r="F900">
        <v>993.18</v>
      </c>
    </row>
    <row r="901" spans="1:6" x14ac:dyDescent="0.25">
      <c r="A901" t="s">
        <v>414</v>
      </c>
      <c r="B901" t="s">
        <v>14</v>
      </c>
      <c r="C901" s="5" t="str">
        <f t="shared" si="32"/>
        <v xml:space="preserve"> кв. 10</v>
      </c>
      <c r="D901" s="5" t="str">
        <f>CONCATENATE(A901,C901)</f>
        <v>Беломорская ул., дом 7 к.3 кв. 10</v>
      </c>
      <c r="E901" s="3">
        <f>HYPERLINK("https://sao.dolgi.msk.ru/account/1404181287/", 1404181287)</f>
        <v>1404181287</v>
      </c>
      <c r="F901">
        <v>1160.82</v>
      </c>
    </row>
    <row r="902" spans="1:6" hidden="1" x14ac:dyDescent="0.25">
      <c r="A902" t="s">
        <v>414</v>
      </c>
      <c r="B902" t="s">
        <v>15</v>
      </c>
      <c r="E902" s="3">
        <f>HYPERLINK("https://sao.dolgi.msk.ru/account/1404180663/", 1404180663)</f>
        <v>1404180663</v>
      </c>
      <c r="F902">
        <v>0</v>
      </c>
    </row>
    <row r="903" spans="1:6" hidden="1" x14ac:dyDescent="0.25">
      <c r="A903" t="s">
        <v>414</v>
      </c>
      <c r="B903" t="s">
        <v>16</v>
      </c>
      <c r="E903" s="3">
        <f>HYPERLINK("https://sao.dolgi.msk.ru/account/1404180532/", 1404180532)</f>
        <v>1404180532</v>
      </c>
      <c r="F903">
        <v>-1460.57</v>
      </c>
    </row>
    <row r="904" spans="1:6" hidden="1" x14ac:dyDescent="0.25">
      <c r="A904" t="s">
        <v>414</v>
      </c>
      <c r="B904" t="s">
        <v>17</v>
      </c>
      <c r="E904" s="3">
        <f>HYPERLINK("https://sao.dolgi.msk.ru/account/1404180671/", 1404180671)</f>
        <v>1404180671</v>
      </c>
      <c r="F904">
        <v>-2029.1</v>
      </c>
    </row>
    <row r="905" spans="1:6" hidden="1" x14ac:dyDescent="0.25">
      <c r="A905" t="s">
        <v>414</v>
      </c>
      <c r="B905" t="s">
        <v>18</v>
      </c>
      <c r="E905" s="3">
        <f>HYPERLINK("https://sao.dolgi.msk.ru/account/1404180911/", 1404180911)</f>
        <v>1404180911</v>
      </c>
      <c r="F905">
        <v>-1687.06</v>
      </c>
    </row>
    <row r="906" spans="1:6" hidden="1" x14ac:dyDescent="0.25">
      <c r="A906" t="s">
        <v>414</v>
      </c>
      <c r="B906" t="s">
        <v>19</v>
      </c>
      <c r="E906" s="3">
        <f>HYPERLINK("https://sao.dolgi.msk.ru/account/1404181295/", 1404181295)</f>
        <v>1404181295</v>
      </c>
      <c r="F906">
        <v>-1691.68</v>
      </c>
    </row>
    <row r="907" spans="1:6" hidden="1" x14ac:dyDescent="0.25">
      <c r="A907" t="s">
        <v>414</v>
      </c>
      <c r="B907" t="s">
        <v>20</v>
      </c>
      <c r="E907" s="3">
        <f>HYPERLINK("https://sao.dolgi.msk.ru/account/1404180786/", 1404180786)</f>
        <v>1404180786</v>
      </c>
      <c r="F907">
        <v>-1237.81</v>
      </c>
    </row>
    <row r="908" spans="1:6" hidden="1" x14ac:dyDescent="0.25">
      <c r="A908" t="s">
        <v>414</v>
      </c>
      <c r="B908" t="s">
        <v>21</v>
      </c>
      <c r="E908" s="3">
        <f>HYPERLINK("https://sao.dolgi.msk.ru/account/1404181076/", 1404181076)</f>
        <v>1404181076</v>
      </c>
      <c r="F908">
        <v>-1460.57</v>
      </c>
    </row>
    <row r="909" spans="1:6" hidden="1" x14ac:dyDescent="0.25">
      <c r="A909" t="s">
        <v>414</v>
      </c>
      <c r="B909" t="s">
        <v>22</v>
      </c>
      <c r="E909" s="3">
        <f>HYPERLINK("https://sao.dolgi.msk.ru/account/1404181121/", 1404181121)</f>
        <v>1404181121</v>
      </c>
      <c r="F909">
        <v>0</v>
      </c>
    </row>
    <row r="910" spans="1:6" hidden="1" x14ac:dyDescent="0.25">
      <c r="A910" t="s">
        <v>414</v>
      </c>
      <c r="B910" t="s">
        <v>23</v>
      </c>
      <c r="E910" s="3">
        <f>HYPERLINK("https://sao.dolgi.msk.ru/account/1404180575/", 1404180575)</f>
        <v>1404180575</v>
      </c>
      <c r="F910">
        <v>-910.56</v>
      </c>
    </row>
    <row r="911" spans="1:6" hidden="1" x14ac:dyDescent="0.25">
      <c r="A911" t="s">
        <v>414</v>
      </c>
      <c r="B911" t="s">
        <v>24</v>
      </c>
      <c r="E911" s="3">
        <f>HYPERLINK("https://sao.dolgi.msk.ru/account/1404181148/", 1404181148)</f>
        <v>1404181148</v>
      </c>
      <c r="F911">
        <v>0</v>
      </c>
    </row>
    <row r="912" spans="1:6" hidden="1" x14ac:dyDescent="0.25">
      <c r="A912" t="s">
        <v>414</v>
      </c>
      <c r="B912" t="s">
        <v>25</v>
      </c>
      <c r="E912" s="3">
        <f>HYPERLINK("https://sao.dolgi.msk.ru/account/1404180751/", 1404180751)</f>
        <v>1404180751</v>
      </c>
      <c r="F912">
        <v>0</v>
      </c>
    </row>
    <row r="913" spans="1:6" hidden="1" x14ac:dyDescent="0.25">
      <c r="A913" t="s">
        <v>414</v>
      </c>
      <c r="B913" t="s">
        <v>26</v>
      </c>
      <c r="E913" s="3">
        <f>HYPERLINK("https://sao.dolgi.msk.ru/account/1404180866/", 1404180866)</f>
        <v>1404180866</v>
      </c>
      <c r="F913">
        <v>0</v>
      </c>
    </row>
    <row r="914" spans="1:6" hidden="1" x14ac:dyDescent="0.25">
      <c r="A914" t="s">
        <v>414</v>
      </c>
      <c r="B914" t="s">
        <v>27</v>
      </c>
      <c r="E914" s="3">
        <f>HYPERLINK("https://sao.dolgi.msk.ru/account/1404181156/", 1404181156)</f>
        <v>1404181156</v>
      </c>
      <c r="F914">
        <v>-1696.3</v>
      </c>
    </row>
    <row r="915" spans="1:6" hidden="1" x14ac:dyDescent="0.25">
      <c r="A915" t="s">
        <v>414</v>
      </c>
      <c r="B915" t="s">
        <v>28</v>
      </c>
      <c r="E915" s="3">
        <f>HYPERLINK("https://sao.dolgi.msk.ru/account/1404180874/", 1404180874)</f>
        <v>1404180874</v>
      </c>
      <c r="F915">
        <v>-1474.44</v>
      </c>
    </row>
    <row r="916" spans="1:6" hidden="1" x14ac:dyDescent="0.25">
      <c r="A916" t="s">
        <v>414</v>
      </c>
      <c r="B916" t="s">
        <v>29</v>
      </c>
      <c r="E916" s="3">
        <f>HYPERLINK("https://sao.dolgi.msk.ru/account/1404180583/", 1404180583)</f>
        <v>1404180583</v>
      </c>
      <c r="F916">
        <v>-1460.57</v>
      </c>
    </row>
    <row r="917" spans="1:6" hidden="1" x14ac:dyDescent="0.25">
      <c r="A917" t="s">
        <v>414</v>
      </c>
      <c r="B917" t="s">
        <v>30</v>
      </c>
      <c r="E917" s="3">
        <f>HYPERLINK("https://sao.dolgi.msk.ru/account/1404181404/", 1404181404)</f>
        <v>1404181404</v>
      </c>
      <c r="F917">
        <v>-1357.47</v>
      </c>
    </row>
    <row r="918" spans="1:6" hidden="1" x14ac:dyDescent="0.25">
      <c r="A918" t="s">
        <v>414</v>
      </c>
      <c r="B918" t="s">
        <v>31</v>
      </c>
      <c r="E918" s="3">
        <f>HYPERLINK("https://sao.dolgi.msk.ru/account/1404180655/", 1404180655)</f>
        <v>1404180655</v>
      </c>
      <c r="F918">
        <v>-1696.3</v>
      </c>
    </row>
    <row r="919" spans="1:6" hidden="1" x14ac:dyDescent="0.25">
      <c r="A919" t="s">
        <v>414</v>
      </c>
      <c r="B919" t="s">
        <v>32</v>
      </c>
      <c r="E919" s="3">
        <f>HYPERLINK("https://sao.dolgi.msk.ru/account/1404180823/", 1404180823)</f>
        <v>1404180823</v>
      </c>
      <c r="F919">
        <v>-1460.57</v>
      </c>
    </row>
    <row r="920" spans="1:6" hidden="1" x14ac:dyDescent="0.25">
      <c r="A920" t="s">
        <v>414</v>
      </c>
      <c r="B920" t="s">
        <v>33</v>
      </c>
      <c r="E920" s="3">
        <f>HYPERLINK("https://sao.dolgi.msk.ru/account/1404180882/", 1404180882)</f>
        <v>1404180882</v>
      </c>
      <c r="F920">
        <v>-1271.06</v>
      </c>
    </row>
    <row r="921" spans="1:6" hidden="1" x14ac:dyDescent="0.25">
      <c r="A921" t="s">
        <v>414</v>
      </c>
      <c r="B921" t="s">
        <v>34</v>
      </c>
      <c r="E921" s="3">
        <f>HYPERLINK("https://sao.dolgi.msk.ru/account/1404181164/", 1404181164)</f>
        <v>1404181164</v>
      </c>
      <c r="F921">
        <v>-906.66</v>
      </c>
    </row>
    <row r="922" spans="1:6" hidden="1" x14ac:dyDescent="0.25">
      <c r="A922" t="s">
        <v>414</v>
      </c>
      <c r="B922" t="s">
        <v>35</v>
      </c>
      <c r="E922" s="3">
        <f>HYPERLINK("https://sao.dolgi.msk.ru/account/1404181017/", 1404181017)</f>
        <v>1404181017</v>
      </c>
      <c r="F922">
        <v>-898.88</v>
      </c>
    </row>
    <row r="923" spans="1:6" hidden="1" x14ac:dyDescent="0.25">
      <c r="A923" t="s">
        <v>414</v>
      </c>
      <c r="B923" t="s">
        <v>36</v>
      </c>
      <c r="E923" s="3">
        <f>HYPERLINK("https://sao.dolgi.msk.ru/account/1404181391/", 1404181391)</f>
        <v>1404181391</v>
      </c>
      <c r="F923">
        <v>0</v>
      </c>
    </row>
    <row r="924" spans="1:6" hidden="1" x14ac:dyDescent="0.25">
      <c r="A924" t="s">
        <v>414</v>
      </c>
      <c r="B924" t="s">
        <v>37</v>
      </c>
      <c r="E924" s="3">
        <f>HYPERLINK("https://sao.dolgi.msk.ru/account/1404181025/", 1404181025)</f>
        <v>1404181025</v>
      </c>
      <c r="F924">
        <v>0</v>
      </c>
    </row>
    <row r="925" spans="1:6" x14ac:dyDescent="0.25">
      <c r="A925" t="s">
        <v>414</v>
      </c>
      <c r="B925" t="s">
        <v>38</v>
      </c>
      <c r="C925" s="5" t="str">
        <f>" кв. "&amp;B925</f>
        <v xml:space="preserve"> кв. 34</v>
      </c>
      <c r="D925" s="5" t="str">
        <f>CONCATENATE(A925,C925)</f>
        <v>Беломорская ул., дом 7 к.3 кв. 34</v>
      </c>
      <c r="E925" s="3">
        <f>HYPERLINK("https://sao.dolgi.msk.ru/account/1404181279/", 1404181279)</f>
        <v>1404181279</v>
      </c>
      <c r="F925">
        <v>1157.6600000000001</v>
      </c>
    </row>
    <row r="926" spans="1:6" hidden="1" x14ac:dyDescent="0.25">
      <c r="A926" t="s">
        <v>414</v>
      </c>
      <c r="B926" t="s">
        <v>39</v>
      </c>
      <c r="E926" s="3">
        <f>HYPERLINK("https://sao.dolgi.msk.ru/account/1404181172/", 1404181172)</f>
        <v>1404181172</v>
      </c>
      <c r="F926">
        <v>0</v>
      </c>
    </row>
    <row r="927" spans="1:6" x14ac:dyDescent="0.25">
      <c r="A927" t="s">
        <v>414</v>
      </c>
      <c r="B927" t="s">
        <v>40</v>
      </c>
      <c r="C927" s="5" t="str">
        <f>" кв. "&amp;B927</f>
        <v xml:space="preserve"> кв. 36</v>
      </c>
      <c r="D927" s="5" t="str">
        <f>CONCATENATE(A927,C927)</f>
        <v>Беломорская ул., дом 7 к.3 кв. 36</v>
      </c>
      <c r="E927" s="3">
        <f>HYPERLINK("https://sao.dolgi.msk.ru/account/1404181084/", 1404181084)</f>
        <v>1404181084</v>
      </c>
      <c r="F927">
        <v>993.18</v>
      </c>
    </row>
    <row r="928" spans="1:6" hidden="1" x14ac:dyDescent="0.25">
      <c r="A928" t="s">
        <v>414</v>
      </c>
      <c r="B928" t="s">
        <v>41</v>
      </c>
      <c r="E928" s="3">
        <f>HYPERLINK("https://sao.dolgi.msk.ru/account/1404180639/", 1404180639)</f>
        <v>1404180639</v>
      </c>
      <c r="F928">
        <v>-305.91000000000003</v>
      </c>
    </row>
    <row r="929" spans="1:6" hidden="1" x14ac:dyDescent="0.25">
      <c r="A929" t="s">
        <v>414</v>
      </c>
      <c r="B929" t="s">
        <v>42</v>
      </c>
      <c r="E929" s="3">
        <f>HYPERLINK("https://sao.dolgi.msk.ru/account/1404180743/", 1404180743)</f>
        <v>1404180743</v>
      </c>
      <c r="F929">
        <v>0</v>
      </c>
    </row>
    <row r="930" spans="1:6" hidden="1" x14ac:dyDescent="0.25">
      <c r="A930" t="s">
        <v>414</v>
      </c>
      <c r="B930" t="s">
        <v>43</v>
      </c>
      <c r="E930" s="3">
        <f>HYPERLINK("https://sao.dolgi.msk.ru/account/1404180647/", 1404180647)</f>
        <v>1404180647</v>
      </c>
      <c r="F930">
        <v>-1687.06</v>
      </c>
    </row>
    <row r="931" spans="1:6" hidden="1" x14ac:dyDescent="0.25">
      <c r="A931" t="s">
        <v>414</v>
      </c>
      <c r="B931" t="s">
        <v>44</v>
      </c>
      <c r="E931" s="3">
        <f>HYPERLINK("https://sao.dolgi.msk.ru/account/1404181105/", 1404181105)</f>
        <v>1404181105</v>
      </c>
      <c r="F931">
        <v>-1451.32</v>
      </c>
    </row>
    <row r="932" spans="1:6" hidden="1" x14ac:dyDescent="0.25">
      <c r="A932" t="s">
        <v>414</v>
      </c>
      <c r="B932" t="s">
        <v>45</v>
      </c>
      <c r="E932" s="3">
        <f>HYPERLINK("https://sao.dolgi.msk.ru/account/1404180831/", 1404180831)</f>
        <v>1404180831</v>
      </c>
      <c r="F932">
        <v>-1455.95</v>
      </c>
    </row>
    <row r="933" spans="1:6" hidden="1" x14ac:dyDescent="0.25">
      <c r="A933" t="s">
        <v>414</v>
      </c>
      <c r="B933" t="s">
        <v>46</v>
      </c>
      <c r="E933" s="3">
        <f>HYPERLINK("https://sao.dolgi.msk.ru/account/1404180858/", 1404180858)</f>
        <v>1404180858</v>
      </c>
      <c r="F933">
        <v>-924.42</v>
      </c>
    </row>
    <row r="934" spans="1:6" hidden="1" x14ac:dyDescent="0.25">
      <c r="A934" t="s">
        <v>414</v>
      </c>
      <c r="B934" t="s">
        <v>47</v>
      </c>
      <c r="E934" s="3">
        <f>HYPERLINK("https://sao.dolgi.msk.ru/account/1404181252/", 1404181252)</f>
        <v>1404181252</v>
      </c>
      <c r="F934">
        <v>-1687.06</v>
      </c>
    </row>
    <row r="935" spans="1:6" hidden="1" x14ac:dyDescent="0.25">
      <c r="A935" t="s">
        <v>414</v>
      </c>
      <c r="B935" t="s">
        <v>48</v>
      </c>
      <c r="E935" s="3">
        <f>HYPERLINK("https://sao.dolgi.msk.ru/account/1404180989/", 1404180989)</f>
        <v>1404180989</v>
      </c>
      <c r="F935">
        <v>-725.65</v>
      </c>
    </row>
    <row r="936" spans="1:6" hidden="1" x14ac:dyDescent="0.25">
      <c r="A936" t="s">
        <v>414</v>
      </c>
      <c r="B936" t="s">
        <v>49</v>
      </c>
      <c r="E936" s="3">
        <f>HYPERLINK("https://sao.dolgi.msk.ru/account/1404180567/", 1404180567)</f>
        <v>1404180567</v>
      </c>
      <c r="F936">
        <v>-2038.32</v>
      </c>
    </row>
    <row r="937" spans="1:6" x14ac:dyDescent="0.25">
      <c r="A937" t="s">
        <v>414</v>
      </c>
      <c r="B937" t="s">
        <v>50</v>
      </c>
      <c r="C937" s="5" t="str">
        <f>" кв. "&amp;B937</f>
        <v xml:space="preserve"> кв. 46</v>
      </c>
      <c r="D937" s="5" t="str">
        <f>CONCATENATE(A937,C937)</f>
        <v>Беломорская ул., дом 7 к.3 кв. 46</v>
      </c>
      <c r="E937" s="3">
        <f>HYPERLINK("https://sao.dolgi.msk.ru/account/1404181113/", 1404181113)</f>
        <v>1404181113</v>
      </c>
      <c r="F937">
        <v>1145.01</v>
      </c>
    </row>
    <row r="938" spans="1:6" hidden="1" x14ac:dyDescent="0.25">
      <c r="A938" t="s">
        <v>414</v>
      </c>
      <c r="B938" t="s">
        <v>51</v>
      </c>
      <c r="E938" s="3">
        <f>HYPERLINK("https://sao.dolgi.msk.ru/account/1404180997/", 1404180997)</f>
        <v>1404180997</v>
      </c>
      <c r="F938">
        <v>-1691.68</v>
      </c>
    </row>
    <row r="939" spans="1:6" hidden="1" x14ac:dyDescent="0.25">
      <c r="A939" t="s">
        <v>414</v>
      </c>
      <c r="B939" t="s">
        <v>52</v>
      </c>
      <c r="E939" s="3">
        <f>HYPERLINK("https://sao.dolgi.msk.ru/account/1404181308/", 1404181308)</f>
        <v>1404181308</v>
      </c>
      <c r="F939">
        <v>-1465.19</v>
      </c>
    </row>
    <row r="940" spans="1:6" hidden="1" x14ac:dyDescent="0.25">
      <c r="A940" t="s">
        <v>414</v>
      </c>
      <c r="B940" t="s">
        <v>53</v>
      </c>
      <c r="E940" s="3">
        <f>HYPERLINK("https://sao.dolgi.msk.ru/account/1404180938/", 1404180938)</f>
        <v>1404180938</v>
      </c>
      <c r="F940">
        <v>-1442.08</v>
      </c>
    </row>
    <row r="941" spans="1:6" hidden="1" x14ac:dyDescent="0.25">
      <c r="A941" t="s">
        <v>414</v>
      </c>
      <c r="B941" t="s">
        <v>54</v>
      </c>
      <c r="E941" s="3">
        <f>HYPERLINK("https://sao.dolgi.msk.ru/account/1404180698/", 1404180698)</f>
        <v>1404180698</v>
      </c>
      <c r="F941">
        <v>-1682.43</v>
      </c>
    </row>
    <row r="942" spans="1:6" hidden="1" x14ac:dyDescent="0.25">
      <c r="A942" t="s">
        <v>414</v>
      </c>
      <c r="B942" t="s">
        <v>55</v>
      </c>
      <c r="E942" s="3">
        <f>HYPERLINK("https://sao.dolgi.msk.ru/account/1404180559/", 1404180559)</f>
        <v>1404180559</v>
      </c>
      <c r="F942">
        <v>-1700.92</v>
      </c>
    </row>
    <row r="943" spans="1:6" hidden="1" x14ac:dyDescent="0.25">
      <c r="A943" t="s">
        <v>414</v>
      </c>
      <c r="B943" t="s">
        <v>56</v>
      </c>
      <c r="E943" s="3">
        <f>HYPERLINK("https://sao.dolgi.msk.ru/account/1404180946/", 1404180946)</f>
        <v>1404180946</v>
      </c>
      <c r="F943">
        <v>-718.74</v>
      </c>
    </row>
    <row r="944" spans="1:6" hidden="1" x14ac:dyDescent="0.25">
      <c r="A944" t="s">
        <v>414</v>
      </c>
      <c r="B944" t="s">
        <v>57</v>
      </c>
      <c r="E944" s="3">
        <f>HYPERLINK("https://sao.dolgi.msk.ru/account/1404181316/", 1404181316)</f>
        <v>1404181316</v>
      </c>
      <c r="F944">
        <v>-1704.93</v>
      </c>
    </row>
    <row r="945" spans="1:6" hidden="1" x14ac:dyDescent="0.25">
      <c r="A945" t="s">
        <v>414</v>
      </c>
      <c r="B945" t="s">
        <v>58</v>
      </c>
      <c r="E945" s="3">
        <f>HYPERLINK("https://sao.dolgi.msk.ru/account/1404181324/", 1404181324)</f>
        <v>1404181324</v>
      </c>
      <c r="F945">
        <v>-1687.06</v>
      </c>
    </row>
    <row r="946" spans="1:6" hidden="1" x14ac:dyDescent="0.25">
      <c r="A946" t="s">
        <v>414</v>
      </c>
      <c r="B946" t="s">
        <v>59</v>
      </c>
      <c r="E946" s="3">
        <f>HYPERLINK("https://sao.dolgi.msk.ru/account/1404180954/", 1404180954)</f>
        <v>1404180954</v>
      </c>
      <c r="F946">
        <v>0</v>
      </c>
    </row>
    <row r="947" spans="1:6" hidden="1" x14ac:dyDescent="0.25">
      <c r="A947" t="s">
        <v>414</v>
      </c>
      <c r="B947" t="s">
        <v>60</v>
      </c>
      <c r="E947" s="3">
        <f>HYPERLINK("https://sao.dolgi.msk.ru/account/1404181033/", 1404181033)</f>
        <v>1404181033</v>
      </c>
      <c r="F947">
        <v>-2402.9899999999998</v>
      </c>
    </row>
    <row r="948" spans="1:6" x14ac:dyDescent="0.25">
      <c r="A948" t="s">
        <v>414</v>
      </c>
      <c r="B948" t="s">
        <v>61</v>
      </c>
      <c r="C948" s="5" t="str">
        <f>" кв. "&amp;B948</f>
        <v xml:space="preserve"> кв. 57</v>
      </c>
      <c r="D948" s="5" t="str">
        <f>CONCATENATE(A948,C948)</f>
        <v>Беломорская ул., дом 7 к.3 кв. 57</v>
      </c>
      <c r="E948" s="3">
        <f>HYPERLINK("https://sao.dolgi.msk.ru/account/1404180794/", 1404180794)</f>
        <v>1404180794</v>
      </c>
      <c r="F948">
        <v>993.18</v>
      </c>
    </row>
    <row r="949" spans="1:6" hidden="1" x14ac:dyDescent="0.25">
      <c r="A949" t="s">
        <v>414</v>
      </c>
      <c r="B949" t="s">
        <v>62</v>
      </c>
      <c r="E949" s="3">
        <f>HYPERLINK("https://sao.dolgi.msk.ru/account/1404180719/", 1404180719)</f>
        <v>1404180719</v>
      </c>
      <c r="F949">
        <v>-1420.78</v>
      </c>
    </row>
    <row r="950" spans="1:6" hidden="1" x14ac:dyDescent="0.25">
      <c r="A950" t="s">
        <v>414</v>
      </c>
      <c r="B950" t="s">
        <v>63</v>
      </c>
      <c r="E950" s="3">
        <f>HYPERLINK("https://sao.dolgi.msk.ru/account/1404181332/", 1404181332)</f>
        <v>1404181332</v>
      </c>
      <c r="F950">
        <v>0</v>
      </c>
    </row>
    <row r="951" spans="1:6" hidden="1" x14ac:dyDescent="0.25">
      <c r="A951" t="s">
        <v>414</v>
      </c>
      <c r="B951" t="s">
        <v>64</v>
      </c>
      <c r="E951" s="3">
        <f>HYPERLINK("https://sao.dolgi.msk.ru/account/1404181367/", 1404181367)</f>
        <v>1404181367</v>
      </c>
      <c r="F951">
        <v>-1460.57</v>
      </c>
    </row>
    <row r="952" spans="1:6" hidden="1" x14ac:dyDescent="0.25">
      <c r="A952" t="s">
        <v>414</v>
      </c>
      <c r="B952" t="s">
        <v>65</v>
      </c>
      <c r="E952" s="3">
        <f>HYPERLINK("https://sao.dolgi.msk.ru/account/1404180591/", 1404180591)</f>
        <v>1404180591</v>
      </c>
      <c r="F952">
        <v>-2029.1</v>
      </c>
    </row>
    <row r="953" spans="1:6" hidden="1" x14ac:dyDescent="0.25">
      <c r="A953" t="s">
        <v>414</v>
      </c>
      <c r="B953" t="s">
        <v>66</v>
      </c>
      <c r="E953" s="3">
        <f>HYPERLINK("https://sao.dolgi.msk.ru/account/1404181041/", 1404181041)</f>
        <v>1404181041</v>
      </c>
      <c r="F953">
        <v>0</v>
      </c>
    </row>
    <row r="954" spans="1:6" hidden="1" x14ac:dyDescent="0.25">
      <c r="A954" t="s">
        <v>414</v>
      </c>
      <c r="B954" t="s">
        <v>67</v>
      </c>
      <c r="E954" s="3">
        <f>HYPERLINK("https://sao.dolgi.msk.ru/account/1404180727/", 1404180727)</f>
        <v>1404180727</v>
      </c>
      <c r="F954">
        <v>-1682.43</v>
      </c>
    </row>
    <row r="955" spans="1:6" hidden="1" x14ac:dyDescent="0.25">
      <c r="A955" t="s">
        <v>414</v>
      </c>
      <c r="B955" t="s">
        <v>68</v>
      </c>
      <c r="E955" s="3">
        <f>HYPERLINK("https://sao.dolgi.msk.ru/account/1404181201/", 1404181201)</f>
        <v>1404181201</v>
      </c>
      <c r="F955">
        <v>-986.86</v>
      </c>
    </row>
    <row r="956" spans="1:6" x14ac:dyDescent="0.25">
      <c r="A956" t="s">
        <v>414</v>
      </c>
      <c r="B956" t="s">
        <v>69</v>
      </c>
      <c r="C956" s="5" t="str">
        <f>" кв. "&amp;B956</f>
        <v xml:space="preserve"> кв. 65</v>
      </c>
      <c r="D956" s="5" t="str">
        <f>CONCATENATE(A956,C956)</f>
        <v>Беломорская ул., дом 7 к.3 кв. 65</v>
      </c>
      <c r="E956" s="3">
        <f>HYPERLINK("https://sao.dolgi.msk.ru/account/1404180604/", 1404180604)</f>
        <v>1404180604</v>
      </c>
      <c r="F956">
        <v>990.02</v>
      </c>
    </row>
    <row r="957" spans="1:6" hidden="1" x14ac:dyDescent="0.25">
      <c r="A957" t="s">
        <v>414</v>
      </c>
      <c r="B957" t="s">
        <v>70</v>
      </c>
      <c r="E957" s="3">
        <f>HYPERLINK("https://sao.dolgi.msk.ru/account/1404181375/", 1404181375)</f>
        <v>1404181375</v>
      </c>
      <c r="F957">
        <v>-1677.81</v>
      </c>
    </row>
    <row r="958" spans="1:6" hidden="1" x14ac:dyDescent="0.25">
      <c r="A958" t="s">
        <v>414</v>
      </c>
      <c r="B958" t="s">
        <v>71</v>
      </c>
      <c r="E958" s="3">
        <f>HYPERLINK("https://sao.dolgi.msk.ru/account/1404181383/", 1404181383)</f>
        <v>1404181383</v>
      </c>
      <c r="F958">
        <v>-1677.81</v>
      </c>
    </row>
    <row r="959" spans="1:6" hidden="1" x14ac:dyDescent="0.25">
      <c r="A959" t="s">
        <v>414</v>
      </c>
      <c r="B959" t="s">
        <v>72</v>
      </c>
      <c r="E959" s="3">
        <f>HYPERLINK("https://sao.dolgi.msk.ru/account/1404180807/", 1404180807)</f>
        <v>1404180807</v>
      </c>
      <c r="F959">
        <v>-1455.95</v>
      </c>
    </row>
    <row r="960" spans="1:6" hidden="1" x14ac:dyDescent="0.25">
      <c r="A960" t="s">
        <v>414</v>
      </c>
      <c r="B960" t="s">
        <v>73</v>
      </c>
      <c r="E960" s="3">
        <f>HYPERLINK("https://sao.dolgi.msk.ru/account/1404181236/", 1404181236)</f>
        <v>1404181236</v>
      </c>
      <c r="F960">
        <v>-1094.08</v>
      </c>
    </row>
    <row r="961" spans="1:6" x14ac:dyDescent="0.25">
      <c r="A961" t="s">
        <v>414</v>
      </c>
      <c r="B961" t="s">
        <v>74</v>
      </c>
      <c r="C961" s="5" t="str">
        <f t="shared" ref="C961:C963" si="33">" кв. "&amp;B961</f>
        <v xml:space="preserve"> кв. 70</v>
      </c>
      <c r="D961" s="5" t="str">
        <f>CONCATENATE(A961,C961)</f>
        <v>Беломорская ул., дом 7 к.3 кв. 70</v>
      </c>
      <c r="E961" s="3">
        <f>HYPERLINK("https://sao.dolgi.msk.ru/account/1404180735/", 1404180735)</f>
        <v>1404180735</v>
      </c>
      <c r="F961">
        <v>1148.17</v>
      </c>
    </row>
    <row r="962" spans="1:6" x14ac:dyDescent="0.25">
      <c r="A962" t="s">
        <v>414</v>
      </c>
      <c r="B962" t="s">
        <v>75</v>
      </c>
      <c r="C962" s="5" t="str">
        <f t="shared" si="33"/>
        <v xml:space="preserve"> кв. 71</v>
      </c>
      <c r="D962" s="5" t="str">
        <f>CONCATENATE(A962,C962)</f>
        <v>Беломорская ул., дом 7 к.3 кв. 71</v>
      </c>
      <c r="E962" s="3">
        <f>HYPERLINK("https://sao.dolgi.msk.ru/account/1404180815/", 1404180815)</f>
        <v>1404180815</v>
      </c>
      <c r="F962">
        <v>629.42999999999995</v>
      </c>
    </row>
    <row r="963" spans="1:6" x14ac:dyDescent="0.25">
      <c r="A963" t="s">
        <v>414</v>
      </c>
      <c r="B963" t="s">
        <v>76</v>
      </c>
      <c r="C963" s="5" t="str">
        <f t="shared" si="33"/>
        <v xml:space="preserve"> кв. 72</v>
      </c>
      <c r="D963" s="5" t="str">
        <f>CONCATENATE(A963,C963)</f>
        <v>Беломорская ул., дом 7 к.3 кв. 72</v>
      </c>
      <c r="E963" s="3">
        <f>HYPERLINK("https://sao.dolgi.msk.ru/account/1404181068/", 1404181068)</f>
        <v>1404181068</v>
      </c>
      <c r="F963">
        <v>996.35</v>
      </c>
    </row>
    <row r="964" spans="1:6" hidden="1" x14ac:dyDescent="0.25">
      <c r="A964" t="s">
        <v>415</v>
      </c>
      <c r="B964" t="s">
        <v>5</v>
      </c>
      <c r="E964" s="3">
        <f>HYPERLINK("https://sao.dolgi.msk.ru/account/1404182669/", 1404182669)</f>
        <v>1404182669</v>
      </c>
      <c r="F964">
        <v>-2609</v>
      </c>
    </row>
    <row r="965" spans="1:6" hidden="1" x14ac:dyDescent="0.25">
      <c r="A965" t="s">
        <v>415</v>
      </c>
      <c r="B965" t="s">
        <v>6</v>
      </c>
      <c r="E965" s="3">
        <f>HYPERLINK("https://sao.dolgi.msk.ru/account/1404181447/", 1404181447)</f>
        <v>1404181447</v>
      </c>
      <c r="F965">
        <v>-708.82</v>
      </c>
    </row>
    <row r="966" spans="1:6" hidden="1" x14ac:dyDescent="0.25">
      <c r="A966" t="s">
        <v>415</v>
      </c>
      <c r="B966" t="s">
        <v>7</v>
      </c>
      <c r="E966" s="3">
        <f>HYPERLINK("https://sao.dolgi.msk.ru/account/1404182677/", 1404182677)</f>
        <v>1404182677</v>
      </c>
      <c r="F966">
        <v>-1581.99</v>
      </c>
    </row>
    <row r="967" spans="1:6" hidden="1" x14ac:dyDescent="0.25">
      <c r="A967" t="s">
        <v>415</v>
      </c>
      <c r="B967" t="s">
        <v>8</v>
      </c>
      <c r="E967" s="3">
        <f>HYPERLINK("https://sao.dolgi.msk.ru/account/1404182095/", 1404182095)</f>
        <v>1404182095</v>
      </c>
      <c r="F967">
        <v>-2478.1999999999998</v>
      </c>
    </row>
    <row r="968" spans="1:6" hidden="1" x14ac:dyDescent="0.25">
      <c r="A968" t="s">
        <v>415</v>
      </c>
      <c r="B968" t="s">
        <v>9</v>
      </c>
      <c r="E968" s="3">
        <f>HYPERLINK("https://sao.dolgi.msk.ru/account/1404182837/", 1404182837)</f>
        <v>1404182837</v>
      </c>
      <c r="F968">
        <v>0</v>
      </c>
    </row>
    <row r="969" spans="1:6" x14ac:dyDescent="0.25">
      <c r="A969" t="s">
        <v>415</v>
      </c>
      <c r="B969" t="s">
        <v>10</v>
      </c>
      <c r="C969" s="5" t="str">
        <f>" кв. "&amp;B969</f>
        <v xml:space="preserve"> кв. 6</v>
      </c>
      <c r="D969" s="5" t="str">
        <f>CONCATENATE(A969,C969)</f>
        <v>Беломорская ул., дом 8 к.1 кв. 6</v>
      </c>
      <c r="E969" s="3">
        <f>HYPERLINK("https://sao.dolgi.msk.ru/account/1404181623/", 1404181623)</f>
        <v>1404181623</v>
      </c>
      <c r="F969">
        <v>1069.0899999999999</v>
      </c>
    </row>
    <row r="970" spans="1:6" hidden="1" x14ac:dyDescent="0.25">
      <c r="A970" t="s">
        <v>415</v>
      </c>
      <c r="B970" t="s">
        <v>11</v>
      </c>
      <c r="E970" s="3">
        <f>HYPERLINK("https://sao.dolgi.msk.ru/account/1404182028/", 1404182028)</f>
        <v>1404182028</v>
      </c>
      <c r="F970">
        <v>0</v>
      </c>
    </row>
    <row r="971" spans="1:6" hidden="1" x14ac:dyDescent="0.25">
      <c r="A971" t="s">
        <v>415</v>
      </c>
      <c r="B971" t="s">
        <v>12</v>
      </c>
      <c r="E971" s="3">
        <f>HYPERLINK("https://sao.dolgi.msk.ru/account/1404182423/", 1404182423)</f>
        <v>1404182423</v>
      </c>
      <c r="F971">
        <v>-1462.04</v>
      </c>
    </row>
    <row r="972" spans="1:6" hidden="1" x14ac:dyDescent="0.25">
      <c r="A972" t="s">
        <v>415</v>
      </c>
      <c r="B972" t="s">
        <v>13</v>
      </c>
      <c r="E972" s="3">
        <f>HYPERLINK("https://sao.dolgi.msk.ru/account/1404182087/", 1404182087)</f>
        <v>1404182087</v>
      </c>
      <c r="F972">
        <v>-2218.06</v>
      </c>
    </row>
    <row r="973" spans="1:6" x14ac:dyDescent="0.25">
      <c r="A973" t="s">
        <v>415</v>
      </c>
      <c r="B973" t="s">
        <v>14</v>
      </c>
      <c r="C973" s="5" t="str">
        <f>" кв. "&amp;B973</f>
        <v xml:space="preserve"> кв. 10</v>
      </c>
      <c r="D973" s="5" t="str">
        <f>CONCATENATE(A973,C973)</f>
        <v>Беломорская ул., дом 8 к.1 кв. 10</v>
      </c>
      <c r="E973" s="3">
        <f>HYPERLINK("https://sao.dolgi.msk.ru/account/1404182167/", 1404182167)</f>
        <v>1404182167</v>
      </c>
      <c r="F973">
        <v>1170.31</v>
      </c>
    </row>
    <row r="974" spans="1:6" hidden="1" x14ac:dyDescent="0.25">
      <c r="A974" t="s">
        <v>415</v>
      </c>
      <c r="B974" t="s">
        <v>15</v>
      </c>
      <c r="E974" s="3">
        <f>HYPERLINK("https://sao.dolgi.msk.ru/account/1404181754/", 1404181754)</f>
        <v>1404181754</v>
      </c>
      <c r="F974">
        <v>-1562.25</v>
      </c>
    </row>
    <row r="975" spans="1:6" hidden="1" x14ac:dyDescent="0.25">
      <c r="A975" t="s">
        <v>415</v>
      </c>
      <c r="B975" t="s">
        <v>16</v>
      </c>
      <c r="E975" s="3">
        <f>HYPERLINK("https://sao.dolgi.msk.ru/account/1404182503/", 1404182503)</f>
        <v>1404182503</v>
      </c>
      <c r="F975">
        <v>-2250.56</v>
      </c>
    </row>
    <row r="976" spans="1:6" hidden="1" x14ac:dyDescent="0.25">
      <c r="A976" t="s">
        <v>415</v>
      </c>
      <c r="B976" t="s">
        <v>17</v>
      </c>
      <c r="E976" s="3">
        <f>HYPERLINK("https://sao.dolgi.msk.ru/account/1404182992/", 1404182992)</f>
        <v>1404182992</v>
      </c>
      <c r="F976">
        <v>0</v>
      </c>
    </row>
    <row r="977" spans="1:6" hidden="1" x14ac:dyDescent="0.25">
      <c r="A977" t="s">
        <v>415</v>
      </c>
      <c r="B977" t="s">
        <v>18</v>
      </c>
      <c r="E977" s="3">
        <f>HYPERLINK("https://sao.dolgi.msk.ru/account/1404183987/", 1404183987)</f>
        <v>1404183987</v>
      </c>
      <c r="F977">
        <v>-6604.36</v>
      </c>
    </row>
    <row r="978" spans="1:6" hidden="1" x14ac:dyDescent="0.25">
      <c r="A978" t="s">
        <v>415</v>
      </c>
      <c r="B978" t="s">
        <v>19</v>
      </c>
      <c r="E978" s="3">
        <f>HYPERLINK("https://sao.dolgi.msk.ru/account/1404182634/", 1404182634)</f>
        <v>1404182634</v>
      </c>
      <c r="F978">
        <v>-2966.1</v>
      </c>
    </row>
    <row r="979" spans="1:6" hidden="1" x14ac:dyDescent="0.25">
      <c r="A979" t="s">
        <v>415</v>
      </c>
      <c r="B979" t="s">
        <v>20</v>
      </c>
      <c r="E979" s="3">
        <f>HYPERLINK("https://sao.dolgi.msk.ru/account/1404181893/", 1404181893)</f>
        <v>1404181893</v>
      </c>
      <c r="F979">
        <v>-1553.01</v>
      </c>
    </row>
    <row r="980" spans="1:6" hidden="1" x14ac:dyDescent="0.25">
      <c r="A980" t="s">
        <v>415</v>
      </c>
      <c r="B980" t="s">
        <v>21</v>
      </c>
      <c r="E980" s="3">
        <f>HYPERLINK("https://sao.dolgi.msk.ru/account/1404182482/", 1404182482)</f>
        <v>1404182482</v>
      </c>
      <c r="F980">
        <v>-1719.42</v>
      </c>
    </row>
    <row r="981" spans="1:6" hidden="1" x14ac:dyDescent="0.25">
      <c r="A981" t="s">
        <v>415</v>
      </c>
      <c r="B981" t="s">
        <v>22</v>
      </c>
      <c r="E981" s="3">
        <f>HYPERLINK("https://sao.dolgi.msk.ru/account/1404182394/", 1404182394)</f>
        <v>1404182394</v>
      </c>
      <c r="F981">
        <v>-2003.66</v>
      </c>
    </row>
    <row r="982" spans="1:6" hidden="1" x14ac:dyDescent="0.25">
      <c r="A982" t="s">
        <v>415</v>
      </c>
      <c r="B982" t="s">
        <v>23</v>
      </c>
      <c r="E982" s="3">
        <f>HYPERLINK("https://sao.dolgi.msk.ru/account/1404182474/", 1404182474)</f>
        <v>1404182474</v>
      </c>
      <c r="F982">
        <v>-2426.6</v>
      </c>
    </row>
    <row r="983" spans="1:6" hidden="1" x14ac:dyDescent="0.25">
      <c r="A983" t="s">
        <v>415</v>
      </c>
      <c r="B983" t="s">
        <v>24</v>
      </c>
      <c r="E983" s="3">
        <f>HYPERLINK("https://sao.dolgi.msk.ru/account/1404183741/", 1404183741)</f>
        <v>1404183741</v>
      </c>
      <c r="F983">
        <v>-1747.13</v>
      </c>
    </row>
    <row r="984" spans="1:6" x14ac:dyDescent="0.25">
      <c r="A984" t="s">
        <v>415</v>
      </c>
      <c r="B984" t="s">
        <v>25</v>
      </c>
      <c r="C984" s="5" t="str">
        <f>" кв. "&amp;B984</f>
        <v xml:space="preserve"> кв. 21</v>
      </c>
      <c r="D984" s="5" t="str">
        <f>CONCATENATE(A984,C984)</f>
        <v>Беломорская ул., дом 8 к.1 кв. 21</v>
      </c>
      <c r="E984" s="3">
        <f>HYPERLINK("https://sao.dolgi.msk.ru/account/1404182685/", 1404182685)</f>
        <v>1404182685</v>
      </c>
      <c r="F984">
        <v>537.71</v>
      </c>
    </row>
    <row r="985" spans="1:6" hidden="1" x14ac:dyDescent="0.25">
      <c r="A985" t="s">
        <v>415</v>
      </c>
      <c r="B985" t="s">
        <v>26</v>
      </c>
      <c r="E985" s="3">
        <f>HYPERLINK("https://sao.dolgi.msk.ru/account/1404183725/", 1404183725)</f>
        <v>1404183725</v>
      </c>
      <c r="F985">
        <v>-1448.04</v>
      </c>
    </row>
    <row r="986" spans="1:6" hidden="1" x14ac:dyDescent="0.25">
      <c r="A986" t="s">
        <v>415</v>
      </c>
      <c r="B986" t="s">
        <v>27</v>
      </c>
      <c r="E986" s="3">
        <f>HYPERLINK("https://sao.dolgi.msk.ru/account/1404183397/", 1404183397)</f>
        <v>1404183397</v>
      </c>
      <c r="F986">
        <v>-2657.68</v>
      </c>
    </row>
    <row r="987" spans="1:6" hidden="1" x14ac:dyDescent="0.25">
      <c r="A987" t="s">
        <v>415</v>
      </c>
      <c r="B987" t="s">
        <v>28</v>
      </c>
      <c r="E987" s="3">
        <f>HYPERLINK("https://sao.dolgi.msk.ru/account/1404182415/", 1404182415)</f>
        <v>1404182415</v>
      </c>
      <c r="F987">
        <v>-2417.35</v>
      </c>
    </row>
    <row r="988" spans="1:6" hidden="1" x14ac:dyDescent="0.25">
      <c r="A988" t="s">
        <v>415</v>
      </c>
      <c r="B988" t="s">
        <v>29</v>
      </c>
      <c r="E988" s="3">
        <f>HYPERLINK("https://sao.dolgi.msk.ru/account/1404183071/", 1404183071)</f>
        <v>1404183071</v>
      </c>
      <c r="F988">
        <v>-1742.51</v>
      </c>
    </row>
    <row r="989" spans="1:6" hidden="1" x14ac:dyDescent="0.25">
      <c r="A989" t="s">
        <v>415</v>
      </c>
      <c r="B989" t="s">
        <v>30</v>
      </c>
      <c r="E989" s="3">
        <f>HYPERLINK("https://sao.dolgi.msk.ru/account/1404182845/", 1404182845)</f>
        <v>1404182845</v>
      </c>
      <c r="F989">
        <v>-1548.39</v>
      </c>
    </row>
    <row r="990" spans="1:6" hidden="1" x14ac:dyDescent="0.25">
      <c r="A990" t="s">
        <v>415</v>
      </c>
      <c r="B990" t="s">
        <v>31</v>
      </c>
      <c r="E990" s="3">
        <f>HYPERLINK("https://sao.dolgi.msk.ru/account/1404183194/", 1404183194)</f>
        <v>1404183194</v>
      </c>
      <c r="F990">
        <v>-1251.79</v>
      </c>
    </row>
    <row r="991" spans="1:6" hidden="1" x14ac:dyDescent="0.25">
      <c r="A991" t="s">
        <v>415</v>
      </c>
      <c r="B991" t="s">
        <v>32</v>
      </c>
      <c r="E991" s="3">
        <f>HYPERLINK("https://sao.dolgi.msk.ru/account/1404181615/", 1404181615)</f>
        <v>1404181615</v>
      </c>
      <c r="F991">
        <v>0</v>
      </c>
    </row>
    <row r="992" spans="1:6" hidden="1" x14ac:dyDescent="0.25">
      <c r="A992" t="s">
        <v>415</v>
      </c>
      <c r="B992" t="s">
        <v>33</v>
      </c>
      <c r="E992" s="3">
        <f>HYPERLINK("https://sao.dolgi.msk.ru/account/1404183135/", 1404183135)</f>
        <v>1404183135</v>
      </c>
      <c r="F992">
        <v>0</v>
      </c>
    </row>
    <row r="993" spans="1:6" x14ac:dyDescent="0.25">
      <c r="A993" t="s">
        <v>415</v>
      </c>
      <c r="B993" t="s">
        <v>34</v>
      </c>
      <c r="C993" s="5" t="str">
        <f>" кв. "&amp;B993</f>
        <v xml:space="preserve"> кв. 30</v>
      </c>
      <c r="D993" s="5" t="str">
        <f>CONCATENATE(A993,C993)</f>
        <v>Беломорская ул., дом 8 к.1 кв. 30</v>
      </c>
      <c r="E993" s="3">
        <f>HYPERLINK("https://sao.dolgi.msk.ru/account/1404183178/", 1404183178)</f>
        <v>1404183178</v>
      </c>
      <c r="F993">
        <v>1198.78</v>
      </c>
    </row>
    <row r="994" spans="1:6" hidden="1" x14ac:dyDescent="0.25">
      <c r="A994" t="s">
        <v>415</v>
      </c>
      <c r="B994" t="s">
        <v>35</v>
      </c>
      <c r="E994" s="3">
        <f>HYPERLINK("https://sao.dolgi.msk.ru/account/1404183151/", 1404183151)</f>
        <v>1404183151</v>
      </c>
      <c r="F994">
        <v>-1300.0999999999999</v>
      </c>
    </row>
    <row r="995" spans="1:6" hidden="1" x14ac:dyDescent="0.25">
      <c r="A995" t="s">
        <v>415</v>
      </c>
      <c r="B995" t="s">
        <v>36</v>
      </c>
      <c r="E995" s="3">
        <f>HYPERLINK("https://sao.dolgi.msk.ru/account/1404183055/", 1404183055)</f>
        <v>1404183055</v>
      </c>
      <c r="F995">
        <v>-1728.7</v>
      </c>
    </row>
    <row r="996" spans="1:6" hidden="1" x14ac:dyDescent="0.25">
      <c r="A996" t="s">
        <v>415</v>
      </c>
      <c r="B996" t="s">
        <v>37</v>
      </c>
      <c r="E996" s="3">
        <f>HYPERLINK("https://sao.dolgi.msk.ru/account/1404183813/", 1404183813)</f>
        <v>1404183813</v>
      </c>
      <c r="F996">
        <v>-2176.19</v>
      </c>
    </row>
    <row r="997" spans="1:6" hidden="1" x14ac:dyDescent="0.25">
      <c r="A997" t="s">
        <v>415</v>
      </c>
      <c r="B997" t="s">
        <v>38</v>
      </c>
      <c r="E997" s="3">
        <f>HYPERLINK("https://sao.dolgi.msk.ru/account/1404182853/", 1404182853)</f>
        <v>1404182853</v>
      </c>
      <c r="F997">
        <v>-2417.35</v>
      </c>
    </row>
    <row r="998" spans="1:6" hidden="1" x14ac:dyDescent="0.25">
      <c r="A998" t="s">
        <v>415</v>
      </c>
      <c r="B998" t="s">
        <v>39</v>
      </c>
      <c r="E998" s="3">
        <f>HYPERLINK("https://sao.dolgi.msk.ru/account/1404182546/", 1404182546)</f>
        <v>1404182546</v>
      </c>
      <c r="F998">
        <v>-1761</v>
      </c>
    </row>
    <row r="999" spans="1:6" hidden="1" x14ac:dyDescent="0.25">
      <c r="A999" t="s">
        <v>415</v>
      </c>
      <c r="B999" t="s">
        <v>40</v>
      </c>
      <c r="E999" s="3">
        <f>HYPERLINK("https://sao.dolgi.msk.ru/account/1404183389/", 1404183389)</f>
        <v>1404183389</v>
      </c>
      <c r="F999">
        <v>-785.75</v>
      </c>
    </row>
    <row r="1000" spans="1:6" hidden="1" x14ac:dyDescent="0.25">
      <c r="A1000" t="s">
        <v>415</v>
      </c>
      <c r="B1000" t="s">
        <v>41</v>
      </c>
      <c r="E1000" s="3">
        <f>HYPERLINK("https://sao.dolgi.msk.ru/account/1404183098/", 1404183098)</f>
        <v>1404183098</v>
      </c>
      <c r="F1000">
        <v>-1724.04</v>
      </c>
    </row>
    <row r="1001" spans="1:6" x14ac:dyDescent="0.25">
      <c r="A1001" t="s">
        <v>415</v>
      </c>
      <c r="B1001" t="s">
        <v>42</v>
      </c>
      <c r="C1001" s="5" t="str">
        <f>" кв. "&amp;B1001</f>
        <v xml:space="preserve"> кв. 38</v>
      </c>
      <c r="D1001" s="5" t="str">
        <f>CONCATENATE(A1001,C1001)</f>
        <v>Беломорская ул., дом 8 к.1 кв. 38</v>
      </c>
      <c r="E1001" s="3">
        <f>HYPERLINK("https://sao.dolgi.msk.ru/account/1404184007/", 1404184007)</f>
        <v>1404184007</v>
      </c>
      <c r="F1001">
        <v>1160.82</v>
      </c>
    </row>
    <row r="1002" spans="1:6" hidden="1" x14ac:dyDescent="0.25">
      <c r="A1002" t="s">
        <v>415</v>
      </c>
      <c r="B1002" t="s">
        <v>43</v>
      </c>
      <c r="E1002" s="3">
        <f>HYPERLINK("https://sao.dolgi.msk.ru/account/1404183274/", 1404183274)</f>
        <v>1404183274</v>
      </c>
      <c r="F1002">
        <v>-1204.06</v>
      </c>
    </row>
    <row r="1003" spans="1:6" hidden="1" x14ac:dyDescent="0.25">
      <c r="A1003" t="s">
        <v>415</v>
      </c>
      <c r="B1003" t="s">
        <v>44</v>
      </c>
      <c r="E1003" s="3">
        <f>HYPERLINK("https://sao.dolgi.msk.ru/account/1404183442/", 1404183442)</f>
        <v>1404183442</v>
      </c>
      <c r="F1003">
        <v>0</v>
      </c>
    </row>
    <row r="1004" spans="1:6" hidden="1" x14ac:dyDescent="0.25">
      <c r="A1004" t="s">
        <v>415</v>
      </c>
      <c r="B1004" t="s">
        <v>45</v>
      </c>
      <c r="E1004" s="3">
        <f>HYPERLINK("https://sao.dolgi.msk.ru/account/1404183346/", 1404183346)</f>
        <v>1404183346</v>
      </c>
      <c r="F1004">
        <v>0</v>
      </c>
    </row>
    <row r="1005" spans="1:6" hidden="1" x14ac:dyDescent="0.25">
      <c r="A1005" t="s">
        <v>415</v>
      </c>
      <c r="B1005" t="s">
        <v>46</v>
      </c>
      <c r="E1005" s="3">
        <f>HYPERLINK("https://sao.dolgi.msk.ru/account/1404181834/", 1404181834)</f>
        <v>1404181834</v>
      </c>
      <c r="F1005">
        <v>-1724.04</v>
      </c>
    </row>
    <row r="1006" spans="1:6" hidden="1" x14ac:dyDescent="0.25">
      <c r="A1006" t="s">
        <v>415</v>
      </c>
      <c r="B1006" t="s">
        <v>47</v>
      </c>
      <c r="E1006" s="3">
        <f>HYPERLINK("https://sao.dolgi.msk.ru/account/1404183768/", 1404183768)</f>
        <v>1404183768</v>
      </c>
      <c r="F1006">
        <v>-2657.69</v>
      </c>
    </row>
    <row r="1007" spans="1:6" hidden="1" x14ac:dyDescent="0.25">
      <c r="A1007" t="s">
        <v>415</v>
      </c>
      <c r="B1007" t="s">
        <v>48</v>
      </c>
      <c r="E1007" s="3">
        <f>HYPERLINK("https://sao.dolgi.msk.ru/account/1404182466/", 1404182466)</f>
        <v>1404182466</v>
      </c>
      <c r="F1007">
        <v>-2408.1</v>
      </c>
    </row>
    <row r="1008" spans="1:6" hidden="1" x14ac:dyDescent="0.25">
      <c r="A1008" t="s">
        <v>415</v>
      </c>
      <c r="B1008" t="s">
        <v>49</v>
      </c>
      <c r="E1008" s="3">
        <f>HYPERLINK("https://sao.dolgi.msk.ru/account/1404182693/", 1404182693)</f>
        <v>1404182693</v>
      </c>
      <c r="F1008">
        <v>0</v>
      </c>
    </row>
    <row r="1009" spans="1:6" hidden="1" x14ac:dyDescent="0.25">
      <c r="A1009" t="s">
        <v>415</v>
      </c>
      <c r="B1009" t="s">
        <v>50</v>
      </c>
      <c r="E1009" s="3">
        <f>HYPERLINK("https://sao.dolgi.msk.ru/account/1404183063/", 1404183063)</f>
        <v>1404183063</v>
      </c>
      <c r="F1009">
        <v>0</v>
      </c>
    </row>
    <row r="1010" spans="1:6" hidden="1" x14ac:dyDescent="0.25">
      <c r="A1010" t="s">
        <v>415</v>
      </c>
      <c r="B1010" t="s">
        <v>51</v>
      </c>
      <c r="E1010" s="3">
        <f>HYPERLINK("https://sao.dolgi.msk.ru/account/1404181703/", 1404181703)</f>
        <v>1404181703</v>
      </c>
      <c r="F1010">
        <v>-1728.66</v>
      </c>
    </row>
    <row r="1011" spans="1:6" hidden="1" x14ac:dyDescent="0.25">
      <c r="A1011" t="s">
        <v>415</v>
      </c>
      <c r="B1011" t="s">
        <v>52</v>
      </c>
      <c r="E1011" s="3">
        <f>HYPERLINK("https://sao.dolgi.msk.ru/account/1404181607/", 1404181607)</f>
        <v>1404181607</v>
      </c>
      <c r="F1011">
        <v>-419.48</v>
      </c>
    </row>
    <row r="1012" spans="1:6" hidden="1" x14ac:dyDescent="0.25">
      <c r="A1012" t="s">
        <v>415</v>
      </c>
      <c r="B1012" t="s">
        <v>53</v>
      </c>
      <c r="E1012" s="3">
        <f>HYPERLINK("https://sao.dolgi.msk.ru/account/1404182933/", 1404182933)</f>
        <v>1404182933</v>
      </c>
      <c r="F1012">
        <v>-2421.9699999999998</v>
      </c>
    </row>
    <row r="1013" spans="1:6" x14ac:dyDescent="0.25">
      <c r="A1013" t="s">
        <v>415</v>
      </c>
      <c r="B1013" t="s">
        <v>54</v>
      </c>
      <c r="C1013" s="5" t="str">
        <f>" кв. "&amp;B1013</f>
        <v xml:space="preserve"> кв. 50</v>
      </c>
      <c r="D1013" s="5" t="str">
        <f>CONCATENATE(A1013,C1013)</f>
        <v>Беломорская ул., дом 8 к.1 кв. 50</v>
      </c>
      <c r="E1013" s="3">
        <f>HYPERLINK("https://sao.dolgi.msk.ru/account/1404182458/", 1404182458)</f>
        <v>1404182458</v>
      </c>
      <c r="F1013">
        <v>1195.6099999999999</v>
      </c>
    </row>
    <row r="1014" spans="1:6" hidden="1" x14ac:dyDescent="0.25">
      <c r="A1014" t="s">
        <v>415</v>
      </c>
      <c r="B1014" t="s">
        <v>55</v>
      </c>
      <c r="E1014" s="3">
        <f>HYPERLINK("https://sao.dolgi.msk.ru/account/1404182802/", 1404182802)</f>
        <v>1404182802</v>
      </c>
      <c r="F1014">
        <v>-1539.14</v>
      </c>
    </row>
    <row r="1015" spans="1:6" hidden="1" x14ac:dyDescent="0.25">
      <c r="A1015" t="s">
        <v>415</v>
      </c>
      <c r="B1015" t="s">
        <v>56</v>
      </c>
      <c r="E1015" s="3">
        <f>HYPERLINK("https://sao.dolgi.msk.ru/account/1404182554/", 1404182554)</f>
        <v>1404182554</v>
      </c>
      <c r="F1015">
        <v>-1724.04</v>
      </c>
    </row>
    <row r="1016" spans="1:6" hidden="1" x14ac:dyDescent="0.25">
      <c r="A1016" t="s">
        <v>415</v>
      </c>
      <c r="B1016" t="s">
        <v>57</v>
      </c>
      <c r="E1016" s="3">
        <f>HYPERLINK("https://sao.dolgi.msk.ru/account/1404182925/", 1404182925)</f>
        <v>1404182925</v>
      </c>
      <c r="F1016">
        <v>-2653.06</v>
      </c>
    </row>
    <row r="1017" spans="1:6" x14ac:dyDescent="0.25">
      <c r="A1017" t="s">
        <v>415</v>
      </c>
      <c r="B1017" t="s">
        <v>58</v>
      </c>
      <c r="C1017" s="5" t="str">
        <f>" кв. "&amp;B1017</f>
        <v xml:space="preserve"> кв. 54</v>
      </c>
      <c r="D1017" s="5" t="str">
        <f>CONCATENATE(A1017,C1017)</f>
        <v>Беломорская ул., дом 8 к.1 кв. 54</v>
      </c>
      <c r="E1017" s="3">
        <f>HYPERLINK("https://sao.dolgi.msk.ru/account/1404183047/", 1404183047)</f>
        <v>1404183047</v>
      </c>
      <c r="F1017">
        <v>1135.51</v>
      </c>
    </row>
    <row r="1018" spans="1:6" hidden="1" x14ac:dyDescent="0.25">
      <c r="A1018" t="s">
        <v>415</v>
      </c>
      <c r="B1018" t="s">
        <v>59</v>
      </c>
      <c r="E1018" s="3">
        <f>HYPERLINK("https://sao.dolgi.msk.ru/account/1404181498/", 1404181498)</f>
        <v>1404181498</v>
      </c>
      <c r="F1018">
        <v>-1761</v>
      </c>
    </row>
    <row r="1019" spans="1:6" x14ac:dyDescent="0.25">
      <c r="A1019" t="s">
        <v>415</v>
      </c>
      <c r="B1019" t="s">
        <v>60</v>
      </c>
      <c r="C1019" s="5" t="str">
        <f>" кв. "&amp;B1019</f>
        <v xml:space="preserve"> кв. 56</v>
      </c>
      <c r="D1019" s="5" t="str">
        <f>CONCATENATE(A1019,C1019)</f>
        <v>Беломорская ул., дом 8 к.1 кв. 56</v>
      </c>
      <c r="E1019" s="3">
        <f>HYPERLINK("https://sao.dolgi.msk.ru/account/1404182116/", 1404182116)</f>
        <v>1404182116</v>
      </c>
      <c r="F1019">
        <v>528.22</v>
      </c>
    </row>
    <row r="1020" spans="1:6" hidden="1" x14ac:dyDescent="0.25">
      <c r="A1020" t="s">
        <v>415</v>
      </c>
      <c r="B1020" t="s">
        <v>61</v>
      </c>
      <c r="E1020" s="3">
        <f>HYPERLINK("https://sao.dolgi.msk.ru/account/1404183573/", 1404183573)</f>
        <v>1404183573</v>
      </c>
      <c r="F1020">
        <v>-1728.66</v>
      </c>
    </row>
    <row r="1021" spans="1:6" x14ac:dyDescent="0.25">
      <c r="A1021" t="s">
        <v>415</v>
      </c>
      <c r="B1021" t="s">
        <v>62</v>
      </c>
      <c r="C1021" s="5" t="str">
        <f>" кв. "&amp;B1021</f>
        <v xml:space="preserve"> кв. 58</v>
      </c>
      <c r="D1021" s="5" t="str">
        <f>CONCATENATE(A1021,C1021)</f>
        <v>Беломорская ул., дом 8 к.1 кв. 58</v>
      </c>
      <c r="E1021" s="3">
        <f>HYPERLINK("https://sao.dolgi.msk.ru/account/1404183602/", 1404183602)</f>
        <v>1404183602</v>
      </c>
      <c r="F1021">
        <v>1303.1500000000001</v>
      </c>
    </row>
    <row r="1022" spans="1:6" hidden="1" x14ac:dyDescent="0.25">
      <c r="A1022" t="s">
        <v>415</v>
      </c>
      <c r="B1022" t="s">
        <v>63</v>
      </c>
      <c r="E1022" s="3">
        <f>HYPERLINK("https://sao.dolgi.msk.ru/account/1404183493/", 1404183493)</f>
        <v>1404183493</v>
      </c>
      <c r="F1022">
        <v>0</v>
      </c>
    </row>
    <row r="1023" spans="1:6" hidden="1" x14ac:dyDescent="0.25">
      <c r="A1023" t="s">
        <v>415</v>
      </c>
      <c r="B1023" t="s">
        <v>64</v>
      </c>
      <c r="E1023" s="3">
        <f>HYPERLINK("https://sao.dolgi.msk.ru/account/1404182183/", 1404182183)</f>
        <v>1404182183</v>
      </c>
      <c r="F1023">
        <v>-1751.76</v>
      </c>
    </row>
    <row r="1024" spans="1:6" hidden="1" x14ac:dyDescent="0.25">
      <c r="A1024" t="s">
        <v>415</v>
      </c>
      <c r="B1024" t="s">
        <v>65</v>
      </c>
      <c r="E1024" s="3">
        <f>HYPERLINK("https://sao.dolgi.msk.ru/account/1404181826/", 1404181826)</f>
        <v>1404181826</v>
      </c>
      <c r="F1024">
        <v>0</v>
      </c>
    </row>
    <row r="1025" spans="1:6" hidden="1" x14ac:dyDescent="0.25">
      <c r="A1025" t="s">
        <v>415</v>
      </c>
      <c r="B1025" t="s">
        <v>66</v>
      </c>
      <c r="E1025" s="3">
        <f>HYPERLINK("https://sao.dolgi.msk.ru/account/1404182327/", 1404182327)</f>
        <v>1404182327</v>
      </c>
      <c r="F1025">
        <v>-1719.42</v>
      </c>
    </row>
    <row r="1026" spans="1:6" hidden="1" x14ac:dyDescent="0.25">
      <c r="A1026" t="s">
        <v>415</v>
      </c>
      <c r="B1026" t="s">
        <v>67</v>
      </c>
      <c r="E1026" s="3">
        <f>HYPERLINK("https://sao.dolgi.msk.ru/account/1404183717/", 1404183717)</f>
        <v>1404183717</v>
      </c>
      <c r="F1026">
        <v>-2657.69</v>
      </c>
    </row>
    <row r="1027" spans="1:6" hidden="1" x14ac:dyDescent="0.25">
      <c r="A1027" t="s">
        <v>415</v>
      </c>
      <c r="B1027" t="s">
        <v>68</v>
      </c>
      <c r="E1027" s="3">
        <f>HYPERLINK("https://sao.dolgi.msk.ru/account/1404183485/", 1404183485)</f>
        <v>1404183485</v>
      </c>
      <c r="F1027">
        <v>-1809.56</v>
      </c>
    </row>
    <row r="1028" spans="1:6" x14ac:dyDescent="0.25">
      <c r="A1028" t="s">
        <v>415</v>
      </c>
      <c r="B1028" t="s">
        <v>69</v>
      </c>
      <c r="C1028" s="5" t="str">
        <f>" кв. "&amp;B1028</f>
        <v xml:space="preserve"> кв. 65</v>
      </c>
      <c r="D1028" s="5" t="str">
        <f>CONCATENATE(A1028,C1028)</f>
        <v>Беломорская ул., дом 8 к.1 кв. 65</v>
      </c>
      <c r="E1028" s="3">
        <f>HYPERLINK("https://sao.dolgi.msk.ru/account/1404182597/", 1404182597)</f>
        <v>1404182597</v>
      </c>
      <c r="F1028">
        <v>1205.0999999999999</v>
      </c>
    </row>
    <row r="1029" spans="1:6" hidden="1" x14ac:dyDescent="0.25">
      <c r="A1029" t="s">
        <v>415</v>
      </c>
      <c r="B1029" t="s">
        <v>70</v>
      </c>
      <c r="E1029" s="3">
        <f>HYPERLINK("https://sao.dolgi.msk.ru/account/1404182407/", 1404182407)</f>
        <v>1404182407</v>
      </c>
      <c r="F1029">
        <v>-1300.0999999999999</v>
      </c>
    </row>
    <row r="1030" spans="1:6" x14ac:dyDescent="0.25">
      <c r="A1030" t="s">
        <v>415</v>
      </c>
      <c r="B1030" t="s">
        <v>71</v>
      </c>
      <c r="C1030" s="5" t="str">
        <f>" кв. "&amp;B1030</f>
        <v xml:space="preserve"> кв. 67</v>
      </c>
      <c r="D1030" s="5" t="str">
        <f>CONCATENATE(A1030,C1030)</f>
        <v>Беломорская ул., дом 8 к.1 кв. 67</v>
      </c>
      <c r="E1030" s="3">
        <f>HYPERLINK("https://sao.dolgi.msk.ru/account/1404183266/", 1404183266)</f>
        <v>1404183266</v>
      </c>
      <c r="F1030">
        <v>1176.6400000000001</v>
      </c>
    </row>
    <row r="1031" spans="1:6" hidden="1" x14ac:dyDescent="0.25">
      <c r="A1031" t="s">
        <v>415</v>
      </c>
      <c r="B1031" t="s">
        <v>72</v>
      </c>
      <c r="E1031" s="3">
        <f>HYPERLINK("https://sao.dolgi.msk.ru/account/1404181463/", 1404181463)</f>
        <v>1404181463</v>
      </c>
      <c r="F1031">
        <v>-1761.96</v>
      </c>
    </row>
    <row r="1032" spans="1:6" hidden="1" x14ac:dyDescent="0.25">
      <c r="A1032" t="s">
        <v>415</v>
      </c>
      <c r="B1032" t="s">
        <v>73</v>
      </c>
      <c r="E1032" s="3">
        <f>HYPERLINK("https://sao.dolgi.msk.ru/account/1404182255/", 1404182255)</f>
        <v>1404182255</v>
      </c>
      <c r="F1032">
        <v>-2421.9699999999998</v>
      </c>
    </row>
    <row r="1033" spans="1:6" hidden="1" x14ac:dyDescent="0.25">
      <c r="A1033" t="s">
        <v>415</v>
      </c>
      <c r="B1033" t="s">
        <v>74</v>
      </c>
      <c r="E1033" s="3">
        <f>HYPERLINK("https://sao.dolgi.msk.ru/account/1404181543/", 1404181543)</f>
        <v>1404181543</v>
      </c>
      <c r="F1033">
        <v>0</v>
      </c>
    </row>
    <row r="1034" spans="1:6" hidden="1" x14ac:dyDescent="0.25">
      <c r="A1034" t="s">
        <v>415</v>
      </c>
      <c r="B1034" t="s">
        <v>75</v>
      </c>
      <c r="E1034" s="3">
        <f>HYPERLINK("https://sao.dolgi.msk.ru/account/1404181818/", 1404181818)</f>
        <v>1404181818</v>
      </c>
      <c r="F1034">
        <v>-781.12</v>
      </c>
    </row>
    <row r="1035" spans="1:6" hidden="1" x14ac:dyDescent="0.25">
      <c r="A1035" t="s">
        <v>415</v>
      </c>
      <c r="B1035" t="s">
        <v>76</v>
      </c>
      <c r="E1035" s="3">
        <f>HYPERLINK("https://sao.dolgi.msk.ru/account/1404181869/", 1404181869)</f>
        <v>1404181869</v>
      </c>
      <c r="F1035">
        <v>-956.78</v>
      </c>
    </row>
    <row r="1036" spans="1:6" x14ac:dyDescent="0.25">
      <c r="A1036" t="s">
        <v>415</v>
      </c>
      <c r="B1036" t="s">
        <v>77</v>
      </c>
      <c r="C1036" s="5" t="str">
        <f>" кв. "&amp;B1036</f>
        <v xml:space="preserve"> кв. 73</v>
      </c>
      <c r="D1036" s="5" t="str">
        <f>CONCATENATE(A1036,C1036)</f>
        <v>Беломорская ул., дом 8 к.1 кв. 73</v>
      </c>
      <c r="E1036" s="3">
        <f>HYPERLINK("https://sao.dolgi.msk.ru/account/1404182941/", 1404182941)</f>
        <v>1404182941</v>
      </c>
      <c r="F1036">
        <v>1821.89</v>
      </c>
    </row>
    <row r="1037" spans="1:6" hidden="1" x14ac:dyDescent="0.25">
      <c r="A1037" t="s">
        <v>415</v>
      </c>
      <c r="B1037" t="s">
        <v>78</v>
      </c>
      <c r="E1037" s="3">
        <f>HYPERLINK("https://sao.dolgi.msk.ru/account/1404182378/", 1404182378)</f>
        <v>1404182378</v>
      </c>
      <c r="F1037">
        <v>0</v>
      </c>
    </row>
    <row r="1038" spans="1:6" hidden="1" x14ac:dyDescent="0.25">
      <c r="A1038" t="s">
        <v>415</v>
      </c>
      <c r="B1038" t="s">
        <v>79</v>
      </c>
      <c r="E1038" s="3">
        <f>HYPERLINK("https://sao.dolgi.msk.ru/account/1404183039/", 1404183039)</f>
        <v>1404183039</v>
      </c>
      <c r="F1038">
        <v>0</v>
      </c>
    </row>
    <row r="1039" spans="1:6" hidden="1" x14ac:dyDescent="0.25">
      <c r="A1039" t="s">
        <v>415</v>
      </c>
      <c r="B1039" t="s">
        <v>80</v>
      </c>
      <c r="E1039" s="3">
        <f>HYPERLINK("https://sao.dolgi.msk.ru/account/1404181949/", 1404181949)</f>
        <v>1404181949</v>
      </c>
      <c r="F1039">
        <v>0</v>
      </c>
    </row>
    <row r="1040" spans="1:6" hidden="1" x14ac:dyDescent="0.25">
      <c r="A1040" t="s">
        <v>415</v>
      </c>
      <c r="B1040" t="s">
        <v>81</v>
      </c>
      <c r="E1040" s="3">
        <f>HYPERLINK("https://sao.dolgi.msk.ru/account/1404183784/", 1404183784)</f>
        <v>1404183784</v>
      </c>
      <c r="F1040">
        <v>-922.23</v>
      </c>
    </row>
    <row r="1041" spans="1:6" hidden="1" x14ac:dyDescent="0.25">
      <c r="A1041" t="s">
        <v>415</v>
      </c>
      <c r="B1041" t="s">
        <v>82</v>
      </c>
      <c r="E1041" s="3">
        <f>HYPERLINK("https://sao.dolgi.msk.ru/account/1404182343/", 1404182343)</f>
        <v>1404182343</v>
      </c>
      <c r="F1041">
        <v>0</v>
      </c>
    </row>
    <row r="1042" spans="1:6" x14ac:dyDescent="0.25">
      <c r="A1042" t="s">
        <v>415</v>
      </c>
      <c r="B1042" t="s">
        <v>83</v>
      </c>
      <c r="C1042" s="5" t="str">
        <f t="shared" ref="C1042:C1043" si="34">" кв. "&amp;B1042</f>
        <v xml:space="preserve"> кв. 79</v>
      </c>
      <c r="D1042" s="5" t="str">
        <f>CONCATENATE(A1042,C1042)</f>
        <v>Беломорская ул., дом 8 к.1 кв. 79</v>
      </c>
      <c r="E1042" s="3">
        <f>HYPERLINK("https://sao.dolgi.msk.ru/account/1404183565/", 1404183565)</f>
        <v>1404183565</v>
      </c>
      <c r="F1042">
        <v>1660.58</v>
      </c>
    </row>
    <row r="1043" spans="1:6" x14ac:dyDescent="0.25">
      <c r="A1043" t="s">
        <v>415</v>
      </c>
      <c r="B1043" t="s">
        <v>84</v>
      </c>
      <c r="C1043" s="5" t="str">
        <f t="shared" si="34"/>
        <v xml:space="preserve"> кв. 80</v>
      </c>
      <c r="D1043" s="5" t="str">
        <f>CONCATENATE(A1043,C1043)</f>
        <v>Беломорская ул., дом 8 к.1 кв. 80</v>
      </c>
      <c r="E1043" s="3">
        <f>HYPERLINK("https://sao.dolgi.msk.ru/account/1404181914/", 1404181914)</f>
        <v>1404181914</v>
      </c>
      <c r="F1043">
        <v>1205.0999999999999</v>
      </c>
    </row>
    <row r="1044" spans="1:6" hidden="1" x14ac:dyDescent="0.25">
      <c r="A1044" t="s">
        <v>415</v>
      </c>
      <c r="B1044" t="s">
        <v>85</v>
      </c>
      <c r="E1044" s="3">
        <f>HYPERLINK("https://sao.dolgi.msk.ru/account/1404182749/", 1404182749)</f>
        <v>1404182749</v>
      </c>
      <c r="F1044">
        <v>-1553.01</v>
      </c>
    </row>
    <row r="1045" spans="1:6" hidden="1" x14ac:dyDescent="0.25">
      <c r="A1045" t="s">
        <v>415</v>
      </c>
      <c r="B1045" t="s">
        <v>86</v>
      </c>
      <c r="E1045" s="3">
        <f>HYPERLINK("https://sao.dolgi.msk.ru/account/1404181746/", 1404181746)</f>
        <v>1404181746</v>
      </c>
      <c r="F1045">
        <v>-1728.66</v>
      </c>
    </row>
    <row r="1046" spans="1:6" hidden="1" x14ac:dyDescent="0.25">
      <c r="A1046" t="s">
        <v>415</v>
      </c>
      <c r="B1046" t="s">
        <v>87</v>
      </c>
      <c r="E1046" s="3">
        <f>HYPERLINK("https://sao.dolgi.msk.ru/account/1404183514/", 1404183514)</f>
        <v>1404183514</v>
      </c>
      <c r="F1046">
        <v>-2657.69</v>
      </c>
    </row>
    <row r="1047" spans="1:6" x14ac:dyDescent="0.25">
      <c r="A1047" t="s">
        <v>415</v>
      </c>
      <c r="B1047" t="s">
        <v>88</v>
      </c>
      <c r="C1047" s="5" t="str">
        <f>" кв. "&amp;B1047</f>
        <v xml:space="preserve"> кв. 84</v>
      </c>
      <c r="D1047" s="5" t="str">
        <f>CONCATENATE(A1047,C1047)</f>
        <v>Беломорская ул., дом 8 к.1 кв. 84</v>
      </c>
      <c r="E1047" s="3">
        <f>HYPERLINK("https://sao.dolgi.msk.ru/account/1404181578/", 1404181578)</f>
        <v>1404181578</v>
      </c>
      <c r="F1047">
        <v>1651.09</v>
      </c>
    </row>
    <row r="1048" spans="1:6" hidden="1" x14ac:dyDescent="0.25">
      <c r="A1048" t="s">
        <v>415</v>
      </c>
      <c r="B1048" t="s">
        <v>89</v>
      </c>
      <c r="E1048" s="3">
        <f>HYPERLINK("https://sao.dolgi.msk.ru/account/1404181885/", 1404181885)</f>
        <v>1404181885</v>
      </c>
      <c r="F1048">
        <v>-1765.63</v>
      </c>
    </row>
    <row r="1049" spans="1:6" hidden="1" x14ac:dyDescent="0.25">
      <c r="A1049" t="s">
        <v>415</v>
      </c>
      <c r="B1049" t="s">
        <v>90</v>
      </c>
      <c r="E1049" s="3">
        <f>HYPERLINK("https://sao.dolgi.msk.ru/account/1404182976/", 1404182976)</f>
        <v>1404182976</v>
      </c>
      <c r="F1049">
        <v>-1534.54</v>
      </c>
    </row>
    <row r="1050" spans="1:6" hidden="1" x14ac:dyDescent="0.25">
      <c r="A1050" t="s">
        <v>415</v>
      </c>
      <c r="B1050" t="s">
        <v>91</v>
      </c>
      <c r="E1050" s="3">
        <f>HYPERLINK("https://sao.dolgi.msk.ru/account/1404181519/", 1404181519)</f>
        <v>1404181519</v>
      </c>
      <c r="F1050">
        <v>0</v>
      </c>
    </row>
    <row r="1051" spans="1:6" x14ac:dyDescent="0.25">
      <c r="A1051" t="s">
        <v>415</v>
      </c>
      <c r="B1051" t="s">
        <v>92</v>
      </c>
      <c r="C1051" s="5" t="str">
        <f>" кв. "&amp;B1051</f>
        <v xml:space="preserve"> кв. 88</v>
      </c>
      <c r="D1051" s="5" t="str">
        <f>CONCATENATE(A1051,C1051)</f>
        <v>Беломорская ул., дом 8 к.1 кв. 88</v>
      </c>
      <c r="E1051" s="3">
        <f>HYPERLINK("https://sao.dolgi.msk.ru/account/1404183645/", 1404183645)</f>
        <v>1404183645</v>
      </c>
      <c r="F1051">
        <v>1818.73</v>
      </c>
    </row>
    <row r="1052" spans="1:6" hidden="1" x14ac:dyDescent="0.25">
      <c r="A1052" t="s">
        <v>415</v>
      </c>
      <c r="B1052" t="s">
        <v>93</v>
      </c>
      <c r="E1052" s="3">
        <f>HYPERLINK("https://sao.dolgi.msk.ru/account/1404181594/", 1404181594)</f>
        <v>1404181594</v>
      </c>
      <c r="F1052">
        <v>-1413.95</v>
      </c>
    </row>
    <row r="1053" spans="1:6" hidden="1" x14ac:dyDescent="0.25">
      <c r="A1053" t="s">
        <v>415</v>
      </c>
      <c r="B1053" t="s">
        <v>94</v>
      </c>
      <c r="E1053" s="3">
        <f>HYPERLINK("https://sao.dolgi.msk.ru/account/1404183848/", 1404183848)</f>
        <v>1404183848</v>
      </c>
      <c r="F1053">
        <v>-1274.8800000000001</v>
      </c>
    </row>
    <row r="1054" spans="1:6" hidden="1" x14ac:dyDescent="0.25">
      <c r="A1054" t="s">
        <v>415</v>
      </c>
      <c r="B1054" t="s">
        <v>95</v>
      </c>
      <c r="E1054" s="3">
        <f>HYPERLINK("https://sao.dolgi.msk.ru/account/1404182757/", 1404182757)</f>
        <v>1404182757</v>
      </c>
      <c r="F1054">
        <v>-1548.39</v>
      </c>
    </row>
    <row r="1055" spans="1:6" x14ac:dyDescent="0.25">
      <c r="A1055" t="s">
        <v>415</v>
      </c>
      <c r="B1055" t="s">
        <v>96</v>
      </c>
      <c r="C1055" s="5" t="str">
        <f t="shared" ref="C1055:C1056" si="35">" кв. "&amp;B1055</f>
        <v xml:space="preserve"> кв. 92</v>
      </c>
      <c r="D1055" s="5" t="str">
        <f>CONCATENATE(A1055,C1055)</f>
        <v>Беломорская ул., дом 8 к.1 кв. 92</v>
      </c>
      <c r="E1055" s="3">
        <f>HYPERLINK("https://sao.dolgi.msk.ru/account/1404183186/", 1404183186)</f>
        <v>1404183186</v>
      </c>
      <c r="F1055">
        <v>1182.96</v>
      </c>
    </row>
    <row r="1056" spans="1:6" x14ac:dyDescent="0.25">
      <c r="A1056" t="s">
        <v>415</v>
      </c>
      <c r="B1056" t="s">
        <v>97</v>
      </c>
      <c r="C1056" s="5" t="str">
        <f t="shared" si="35"/>
        <v xml:space="preserve"> кв. 93</v>
      </c>
      <c r="D1056" s="5" t="str">
        <f>CONCATENATE(A1056,C1056)</f>
        <v>Беломорская ул., дом 8 к.1 кв. 93</v>
      </c>
      <c r="E1056" s="3">
        <f>HYPERLINK("https://sao.dolgi.msk.ru/account/1404182044/", 1404182044)</f>
        <v>1404182044</v>
      </c>
      <c r="F1056">
        <v>1296.83</v>
      </c>
    </row>
    <row r="1057" spans="1:6" hidden="1" x14ac:dyDescent="0.25">
      <c r="A1057" t="s">
        <v>415</v>
      </c>
      <c r="B1057" t="s">
        <v>98</v>
      </c>
      <c r="E1057" s="3">
        <f>HYPERLINK("https://sao.dolgi.msk.ru/account/1404182618/", 1404182618)</f>
        <v>1404182618</v>
      </c>
      <c r="F1057">
        <v>-764.56</v>
      </c>
    </row>
    <row r="1058" spans="1:6" hidden="1" x14ac:dyDescent="0.25">
      <c r="A1058" t="s">
        <v>415</v>
      </c>
      <c r="B1058" t="s">
        <v>99</v>
      </c>
      <c r="E1058" s="3">
        <f>HYPERLINK("https://sao.dolgi.msk.ru/account/1404182511/", 1404182511)</f>
        <v>1404182511</v>
      </c>
      <c r="F1058">
        <v>-1270.26</v>
      </c>
    </row>
    <row r="1059" spans="1:6" hidden="1" x14ac:dyDescent="0.25">
      <c r="A1059" t="s">
        <v>415</v>
      </c>
      <c r="B1059" t="s">
        <v>100</v>
      </c>
      <c r="E1059" s="3">
        <f>HYPERLINK("https://sao.dolgi.msk.ru/account/1404183581/", 1404183581)</f>
        <v>1404183581</v>
      </c>
      <c r="F1059">
        <v>0</v>
      </c>
    </row>
    <row r="1060" spans="1:6" x14ac:dyDescent="0.25">
      <c r="A1060" t="s">
        <v>415</v>
      </c>
      <c r="B1060" t="s">
        <v>101</v>
      </c>
      <c r="C1060" s="5" t="str">
        <f t="shared" ref="C1060:C1062" si="36">" кв. "&amp;B1060</f>
        <v xml:space="preserve"> кв. 97</v>
      </c>
      <c r="D1060" s="5" t="str">
        <f>CONCATENATE(A1060,C1060)</f>
        <v>Беломорская ул., дом 8 к.1 кв. 97</v>
      </c>
      <c r="E1060" s="3">
        <f>HYPERLINK("https://sao.dolgi.msk.ru/account/1404183119/", 1404183119)</f>
        <v>1404183119</v>
      </c>
      <c r="F1060">
        <v>1182.96</v>
      </c>
    </row>
    <row r="1061" spans="1:6" x14ac:dyDescent="0.25">
      <c r="A1061" t="s">
        <v>415</v>
      </c>
      <c r="B1061" t="s">
        <v>102</v>
      </c>
      <c r="C1061" s="5" t="str">
        <f t="shared" si="36"/>
        <v xml:space="preserve"> кв. 98</v>
      </c>
      <c r="D1061" s="5" t="str">
        <f>CONCATENATE(A1061,C1061)</f>
        <v>Беломорская ул., дом 8 к.1 кв. 98</v>
      </c>
      <c r="E1061" s="3">
        <f>HYPERLINK("https://sao.dolgi.msk.ru/account/1404183223/", 1404183223)</f>
        <v>1404183223</v>
      </c>
      <c r="F1061">
        <v>1299.99</v>
      </c>
    </row>
    <row r="1062" spans="1:6" x14ac:dyDescent="0.25">
      <c r="A1062" t="s">
        <v>415</v>
      </c>
      <c r="B1062" t="s">
        <v>103</v>
      </c>
      <c r="C1062" s="5" t="str">
        <f t="shared" si="36"/>
        <v xml:space="preserve"> кв. 99</v>
      </c>
      <c r="D1062" s="5" t="str">
        <f>CONCATENATE(A1062,C1062)</f>
        <v>Беломорская ул., дом 8 к.1 кв. 99</v>
      </c>
      <c r="E1062" s="3">
        <f>HYPERLINK("https://sao.dolgi.msk.ru/account/1404181455/", 1404181455)</f>
        <v>1404181455</v>
      </c>
      <c r="F1062">
        <v>1647.92</v>
      </c>
    </row>
    <row r="1063" spans="1:6" hidden="1" x14ac:dyDescent="0.25">
      <c r="A1063" t="s">
        <v>415</v>
      </c>
      <c r="B1063" t="s">
        <v>104</v>
      </c>
      <c r="E1063" s="3">
        <f>HYPERLINK("https://sao.dolgi.msk.ru/account/1404183733/", 1404183733)</f>
        <v>1404183733</v>
      </c>
      <c r="F1063">
        <v>-1747.13</v>
      </c>
    </row>
    <row r="1064" spans="1:6" hidden="1" x14ac:dyDescent="0.25">
      <c r="A1064" t="s">
        <v>415</v>
      </c>
      <c r="B1064" t="s">
        <v>105</v>
      </c>
      <c r="E1064" s="3">
        <f>HYPERLINK("https://sao.dolgi.msk.ru/account/1404182132/", 1404182132)</f>
        <v>1404182132</v>
      </c>
      <c r="F1064">
        <v>-1303.02</v>
      </c>
    </row>
    <row r="1065" spans="1:6" hidden="1" x14ac:dyDescent="0.25">
      <c r="A1065" t="s">
        <v>415</v>
      </c>
      <c r="B1065" t="s">
        <v>106</v>
      </c>
      <c r="E1065" s="3">
        <f>HYPERLINK("https://sao.dolgi.msk.ru/account/1404183629/", 1404183629)</f>
        <v>1404183629</v>
      </c>
      <c r="F1065">
        <v>-1733.29</v>
      </c>
    </row>
    <row r="1066" spans="1:6" hidden="1" x14ac:dyDescent="0.25">
      <c r="A1066" t="s">
        <v>415</v>
      </c>
      <c r="B1066" t="s">
        <v>107</v>
      </c>
      <c r="E1066" s="3">
        <f>HYPERLINK("https://sao.dolgi.msk.ru/account/1404182706/", 1404182706)</f>
        <v>1404182706</v>
      </c>
      <c r="F1066">
        <v>-1328.85</v>
      </c>
    </row>
    <row r="1067" spans="1:6" hidden="1" x14ac:dyDescent="0.25">
      <c r="A1067" t="s">
        <v>415</v>
      </c>
      <c r="B1067" t="s">
        <v>108</v>
      </c>
      <c r="E1067" s="3">
        <f>HYPERLINK("https://sao.dolgi.msk.ru/account/1404183637/", 1404183637)</f>
        <v>1404183637</v>
      </c>
      <c r="F1067">
        <v>-2426.6</v>
      </c>
    </row>
    <row r="1068" spans="1:6" hidden="1" x14ac:dyDescent="0.25">
      <c r="A1068" t="s">
        <v>415</v>
      </c>
      <c r="B1068" t="s">
        <v>109</v>
      </c>
      <c r="E1068" s="3">
        <f>HYPERLINK("https://sao.dolgi.msk.ru/account/1404182204/", 1404182204)</f>
        <v>1404182204</v>
      </c>
      <c r="F1068">
        <v>-3119.97</v>
      </c>
    </row>
    <row r="1069" spans="1:6" hidden="1" x14ac:dyDescent="0.25">
      <c r="A1069" t="s">
        <v>415</v>
      </c>
      <c r="B1069" t="s">
        <v>110</v>
      </c>
      <c r="E1069" s="3">
        <f>HYPERLINK("https://sao.dolgi.msk.ru/account/1404182861/", 1404182861)</f>
        <v>1404182861</v>
      </c>
      <c r="F1069">
        <v>0</v>
      </c>
    </row>
    <row r="1070" spans="1:6" hidden="1" x14ac:dyDescent="0.25">
      <c r="A1070" t="s">
        <v>415</v>
      </c>
      <c r="B1070" t="s">
        <v>111</v>
      </c>
      <c r="E1070" s="3">
        <f>HYPERLINK("https://sao.dolgi.msk.ru/account/1404182642/", 1404182642)</f>
        <v>1404182642</v>
      </c>
      <c r="F1070">
        <v>-1728.66</v>
      </c>
    </row>
    <row r="1071" spans="1:6" hidden="1" x14ac:dyDescent="0.25">
      <c r="A1071" t="s">
        <v>415</v>
      </c>
      <c r="B1071" t="s">
        <v>112</v>
      </c>
      <c r="E1071" s="3">
        <f>HYPERLINK("https://sao.dolgi.msk.ru/account/1404183688/", 1404183688)</f>
        <v>1404183688</v>
      </c>
      <c r="F1071">
        <v>0</v>
      </c>
    </row>
    <row r="1072" spans="1:6" hidden="1" x14ac:dyDescent="0.25">
      <c r="A1072" t="s">
        <v>415</v>
      </c>
      <c r="B1072" t="s">
        <v>113</v>
      </c>
      <c r="E1072" s="3">
        <f>HYPERLINK("https://sao.dolgi.msk.ru/account/1404184015/", 1404184015)</f>
        <v>1404184015</v>
      </c>
      <c r="F1072">
        <v>-764.56</v>
      </c>
    </row>
    <row r="1073" spans="1:6" x14ac:dyDescent="0.25">
      <c r="A1073" t="s">
        <v>415</v>
      </c>
      <c r="B1073" t="s">
        <v>114</v>
      </c>
      <c r="C1073" s="5" t="str">
        <f>" кв. "&amp;B1073</f>
        <v xml:space="preserve"> кв. 110</v>
      </c>
      <c r="D1073" s="5" t="str">
        <f>CONCATENATE(A1073,C1073)</f>
        <v>Беломорская ул., дом 8 к.1 кв. 110</v>
      </c>
      <c r="E1073" s="3">
        <f>HYPERLINK("https://sao.dolgi.msk.ru/account/1404181981/", 1404181981)</f>
        <v>1404181981</v>
      </c>
      <c r="F1073">
        <v>1201.94</v>
      </c>
    </row>
    <row r="1074" spans="1:6" hidden="1" x14ac:dyDescent="0.25">
      <c r="A1074" t="s">
        <v>415</v>
      </c>
      <c r="B1074" t="s">
        <v>115</v>
      </c>
      <c r="E1074" s="3">
        <f>HYPERLINK("https://sao.dolgi.msk.ru/account/1404181631/", 1404181631)</f>
        <v>1404181631</v>
      </c>
      <c r="F1074">
        <v>-2966.97</v>
      </c>
    </row>
    <row r="1075" spans="1:6" x14ac:dyDescent="0.25">
      <c r="A1075" t="s">
        <v>415</v>
      </c>
      <c r="B1075" t="s">
        <v>116</v>
      </c>
      <c r="C1075" s="5" t="str">
        <f>" кв. "&amp;B1075</f>
        <v xml:space="preserve"> кв. 112</v>
      </c>
      <c r="D1075" s="5" t="str">
        <f>CONCATENATE(A1075,C1075)</f>
        <v>Беломорская ул., дом 8 к.1 кв. 112</v>
      </c>
      <c r="E1075" s="3">
        <f>HYPERLINK("https://sao.dolgi.msk.ru/account/1404183338/", 1404183338)</f>
        <v>1404183338</v>
      </c>
      <c r="F1075">
        <v>1186.1300000000001</v>
      </c>
    </row>
    <row r="1076" spans="1:6" hidden="1" x14ac:dyDescent="0.25">
      <c r="A1076" t="s">
        <v>415</v>
      </c>
      <c r="B1076" t="s">
        <v>117</v>
      </c>
      <c r="E1076" s="3">
        <f>HYPERLINK("https://sao.dolgi.msk.ru/account/1404181535/", 1404181535)</f>
        <v>1404181535</v>
      </c>
      <c r="F1076">
        <v>0</v>
      </c>
    </row>
    <row r="1077" spans="1:6" x14ac:dyDescent="0.25">
      <c r="A1077" t="s">
        <v>415</v>
      </c>
      <c r="B1077" t="s">
        <v>118</v>
      </c>
      <c r="C1077" s="5" t="str">
        <f t="shared" ref="C1077:C1079" si="37">" кв. "&amp;B1077</f>
        <v xml:space="preserve"> кв. 114</v>
      </c>
      <c r="D1077" s="5" t="str">
        <f>CONCATENATE(A1077,C1077)</f>
        <v>Беломорская ул., дом 8 к.1 кв. 114</v>
      </c>
      <c r="E1077" s="3">
        <f>HYPERLINK("https://sao.dolgi.msk.ru/account/1404183792/", 1404183792)</f>
        <v>1404183792</v>
      </c>
      <c r="F1077">
        <v>1663.74</v>
      </c>
    </row>
    <row r="1078" spans="1:6" x14ac:dyDescent="0.25">
      <c r="A1078" t="s">
        <v>415</v>
      </c>
      <c r="B1078" t="s">
        <v>119</v>
      </c>
      <c r="C1078" s="5" t="str">
        <f t="shared" si="37"/>
        <v xml:space="preserve"> кв. 115</v>
      </c>
      <c r="D1078" s="5" t="str">
        <f>CONCATENATE(A1078,C1078)</f>
        <v>Беломорская ул., дом 8 к.1 кв. 115</v>
      </c>
      <c r="E1078" s="3">
        <f>HYPERLINK("https://sao.dolgi.msk.ru/account/1404183012/", 1404183012)</f>
        <v>1404183012</v>
      </c>
      <c r="F1078">
        <v>1211.43</v>
      </c>
    </row>
    <row r="1079" spans="1:6" x14ac:dyDescent="0.25">
      <c r="A1079" t="s">
        <v>415</v>
      </c>
      <c r="B1079" t="s">
        <v>120</v>
      </c>
      <c r="C1079" s="5" t="str">
        <f t="shared" si="37"/>
        <v xml:space="preserve"> кв. 116</v>
      </c>
      <c r="D1079" s="5" t="str">
        <f>CONCATENATE(A1079,C1079)</f>
        <v>Беломорская ул., дом 8 к.1 кв. 116</v>
      </c>
      <c r="E1079" s="3">
        <f>HYPERLINK("https://sao.dolgi.msk.ru/account/1404182247/", 1404182247)</f>
        <v>1404182247</v>
      </c>
      <c r="F1079">
        <v>1062.77</v>
      </c>
    </row>
    <row r="1080" spans="1:6" hidden="1" x14ac:dyDescent="0.25">
      <c r="A1080" t="s">
        <v>415</v>
      </c>
      <c r="B1080" t="s">
        <v>121</v>
      </c>
      <c r="E1080" s="3">
        <f>HYPERLINK("https://sao.dolgi.msk.ru/account/1404182175/", 1404182175)</f>
        <v>1404182175</v>
      </c>
      <c r="F1080">
        <v>-1728.67</v>
      </c>
    </row>
    <row r="1081" spans="1:6" x14ac:dyDescent="0.25">
      <c r="A1081" t="s">
        <v>415</v>
      </c>
      <c r="B1081" t="s">
        <v>122</v>
      </c>
      <c r="C1081" s="5" t="str">
        <f t="shared" ref="C1081:C1082" si="38">" кв. "&amp;B1081</f>
        <v xml:space="preserve"> кв. 118</v>
      </c>
      <c r="D1081" s="5" t="str">
        <f>CONCATENATE(A1081,C1081)</f>
        <v>Беломорская ул., дом 8 к.1 кв. 118</v>
      </c>
      <c r="E1081" s="3">
        <f>HYPERLINK("https://sao.dolgi.msk.ru/account/1404182191/", 1404182191)</f>
        <v>1404182191</v>
      </c>
      <c r="F1081">
        <v>1825.05</v>
      </c>
    </row>
    <row r="1082" spans="1:6" x14ac:dyDescent="0.25">
      <c r="A1082" t="s">
        <v>415</v>
      </c>
      <c r="B1082" t="s">
        <v>123</v>
      </c>
      <c r="C1082" s="5" t="str">
        <f t="shared" si="38"/>
        <v xml:space="preserve"> кв. 119</v>
      </c>
      <c r="D1082" s="5" t="str">
        <f>CONCATENATE(A1082,C1082)</f>
        <v>Беломорская ул., дом 8 к.1 кв. 119</v>
      </c>
      <c r="E1082" s="3">
        <f>HYPERLINK("https://sao.dolgi.msk.ru/account/1404183995/", 1404183995)</f>
        <v>1404183995</v>
      </c>
      <c r="F1082">
        <v>1478.7</v>
      </c>
    </row>
    <row r="1083" spans="1:6" hidden="1" x14ac:dyDescent="0.25">
      <c r="A1083" t="s">
        <v>415</v>
      </c>
      <c r="B1083" t="s">
        <v>124</v>
      </c>
      <c r="E1083" s="3">
        <f>HYPERLINK("https://sao.dolgi.msk.ru/account/1404181682/", 1404181682)</f>
        <v>1404181682</v>
      </c>
      <c r="F1083">
        <v>-3048.92</v>
      </c>
    </row>
    <row r="1084" spans="1:6" hidden="1" x14ac:dyDescent="0.25">
      <c r="A1084" t="s">
        <v>415</v>
      </c>
      <c r="B1084" t="s">
        <v>125</v>
      </c>
      <c r="E1084" s="3">
        <f>HYPERLINK("https://sao.dolgi.msk.ru/account/1404183821/", 1404183821)</f>
        <v>1404183821</v>
      </c>
      <c r="F1084">
        <v>-1627.66</v>
      </c>
    </row>
    <row r="1085" spans="1:6" x14ac:dyDescent="0.25">
      <c r="A1085" t="s">
        <v>415</v>
      </c>
      <c r="B1085" t="s">
        <v>126</v>
      </c>
      <c r="C1085" s="5" t="str">
        <f>" кв. "&amp;B1085</f>
        <v xml:space="preserve"> кв. 122</v>
      </c>
      <c r="D1085" s="5" t="str">
        <f>CONCATENATE(A1085,C1085)</f>
        <v>Беломорская ул., дом 8 к.1 кв. 122</v>
      </c>
      <c r="E1085" s="3">
        <f>HYPERLINK("https://sao.dolgi.msk.ru/account/1404183282/", 1404183282)</f>
        <v>1404183282</v>
      </c>
      <c r="F1085">
        <v>1189.29</v>
      </c>
    </row>
    <row r="1086" spans="1:6" hidden="1" x14ac:dyDescent="0.25">
      <c r="A1086" t="s">
        <v>415</v>
      </c>
      <c r="B1086" t="s">
        <v>127</v>
      </c>
      <c r="E1086" s="3">
        <f>HYPERLINK("https://sao.dolgi.msk.ru/account/1404182562/", 1404182562)</f>
        <v>1404182562</v>
      </c>
      <c r="F1086">
        <v>0</v>
      </c>
    </row>
    <row r="1087" spans="1:6" hidden="1" x14ac:dyDescent="0.25">
      <c r="A1087" t="s">
        <v>415</v>
      </c>
      <c r="B1087" t="s">
        <v>128</v>
      </c>
      <c r="E1087" s="3">
        <f>HYPERLINK("https://sao.dolgi.msk.ru/account/1404182319/", 1404182319)</f>
        <v>1404182319</v>
      </c>
      <c r="F1087">
        <v>0</v>
      </c>
    </row>
    <row r="1088" spans="1:6" hidden="1" x14ac:dyDescent="0.25">
      <c r="A1088" t="s">
        <v>415</v>
      </c>
      <c r="B1088" t="s">
        <v>129</v>
      </c>
      <c r="E1088" s="3">
        <f>HYPERLINK("https://sao.dolgi.msk.ru/account/1404183901/", 1404183901)</f>
        <v>1404183901</v>
      </c>
      <c r="F1088">
        <v>-2210.89</v>
      </c>
    </row>
    <row r="1089" spans="1:6" hidden="1" x14ac:dyDescent="0.25">
      <c r="A1089" t="s">
        <v>415</v>
      </c>
      <c r="B1089" t="s">
        <v>130</v>
      </c>
      <c r="E1089" s="3">
        <f>HYPERLINK("https://sao.dolgi.msk.ru/account/1404181527/", 1404181527)</f>
        <v>1404181527</v>
      </c>
      <c r="F1089">
        <v>-961.4</v>
      </c>
    </row>
    <row r="1090" spans="1:6" x14ac:dyDescent="0.25">
      <c r="A1090" t="s">
        <v>415</v>
      </c>
      <c r="B1090" t="s">
        <v>131</v>
      </c>
      <c r="C1090" s="5" t="str">
        <f>" кв. "&amp;B1090</f>
        <v xml:space="preserve"> кв. 127</v>
      </c>
      <c r="D1090" s="5" t="str">
        <f>CONCATENATE(A1090,C1090)</f>
        <v>Беломорская ул., дом 8 к.1 кв. 127</v>
      </c>
      <c r="E1090" s="3">
        <f>HYPERLINK("https://sao.dolgi.msk.ru/account/1404182386/", 1404182386)</f>
        <v>1404182386</v>
      </c>
      <c r="F1090">
        <v>1516.22</v>
      </c>
    </row>
    <row r="1091" spans="1:6" hidden="1" x14ac:dyDescent="0.25">
      <c r="A1091" t="s">
        <v>415</v>
      </c>
      <c r="B1091" t="s">
        <v>132</v>
      </c>
      <c r="E1091" s="3">
        <f>HYPERLINK("https://sao.dolgi.msk.ru/account/1404182984/", 1404182984)</f>
        <v>1404182984</v>
      </c>
      <c r="F1091">
        <v>0</v>
      </c>
    </row>
    <row r="1092" spans="1:6" hidden="1" x14ac:dyDescent="0.25">
      <c r="A1092" t="s">
        <v>415</v>
      </c>
      <c r="B1092" t="s">
        <v>133</v>
      </c>
      <c r="E1092" s="3">
        <f>HYPERLINK("https://sao.dolgi.msk.ru/account/1404182888/", 1404182888)</f>
        <v>1404182888</v>
      </c>
      <c r="F1092">
        <v>-2245.9899999999998</v>
      </c>
    </row>
    <row r="1093" spans="1:6" hidden="1" x14ac:dyDescent="0.25">
      <c r="A1093" t="s">
        <v>415</v>
      </c>
      <c r="B1093" t="s">
        <v>134</v>
      </c>
      <c r="E1093" s="3">
        <f>HYPERLINK("https://sao.dolgi.msk.ru/account/1404181877/", 1404181877)</f>
        <v>1404181877</v>
      </c>
      <c r="F1093">
        <v>-1724.04</v>
      </c>
    </row>
    <row r="1094" spans="1:6" hidden="1" x14ac:dyDescent="0.25">
      <c r="A1094" t="s">
        <v>415</v>
      </c>
      <c r="B1094" t="s">
        <v>135</v>
      </c>
      <c r="E1094" s="3">
        <f>HYPERLINK("https://sao.dolgi.msk.ru/account/1404183303/", 1404183303)</f>
        <v>1404183303</v>
      </c>
      <c r="F1094">
        <v>-1206.3699999999999</v>
      </c>
    </row>
    <row r="1095" spans="1:6" hidden="1" x14ac:dyDescent="0.25">
      <c r="A1095" t="s">
        <v>415</v>
      </c>
      <c r="B1095" t="s">
        <v>136</v>
      </c>
      <c r="E1095" s="3">
        <f>HYPERLINK("https://sao.dolgi.msk.ru/account/1404181957/", 1404181957)</f>
        <v>1404181957</v>
      </c>
      <c r="F1095">
        <v>-1744.84</v>
      </c>
    </row>
    <row r="1096" spans="1:6" x14ac:dyDescent="0.25">
      <c r="A1096" t="s">
        <v>415</v>
      </c>
      <c r="B1096" t="s">
        <v>137</v>
      </c>
      <c r="C1096" s="5" t="str">
        <f t="shared" ref="C1096:C1098" si="39">" кв. "&amp;B1096</f>
        <v xml:space="preserve"> кв. 133</v>
      </c>
      <c r="D1096" s="5" t="str">
        <f>CONCATENATE(A1096,C1096)</f>
        <v>Беломорская ул., дом 8 к.1 кв. 133</v>
      </c>
      <c r="E1096" s="3">
        <f>HYPERLINK("https://sao.dolgi.msk.ru/account/1404182079/", 1404182079)</f>
        <v>1404182079</v>
      </c>
      <c r="F1096">
        <v>1818.73</v>
      </c>
    </row>
    <row r="1097" spans="1:6" x14ac:dyDescent="0.25">
      <c r="A1097" t="s">
        <v>415</v>
      </c>
      <c r="B1097" t="s">
        <v>138</v>
      </c>
      <c r="C1097" s="5" t="str">
        <f t="shared" si="39"/>
        <v xml:space="preserve"> кв. 134</v>
      </c>
      <c r="D1097" s="5" t="str">
        <f>CONCATENATE(A1097,C1097)</f>
        <v>Беломорская ул., дом 8 к.1 кв. 134</v>
      </c>
      <c r="E1097" s="3">
        <f>HYPERLINK("https://sao.dolgi.msk.ru/account/1404182124/", 1404182124)</f>
        <v>1404182124</v>
      </c>
      <c r="F1097">
        <v>1186.1300000000001</v>
      </c>
    </row>
    <row r="1098" spans="1:6" x14ac:dyDescent="0.25">
      <c r="A1098" t="s">
        <v>415</v>
      </c>
      <c r="B1098" t="s">
        <v>139</v>
      </c>
      <c r="C1098" s="5" t="str">
        <f t="shared" si="39"/>
        <v xml:space="preserve"> кв. 135</v>
      </c>
      <c r="D1098" s="5" t="str">
        <f>CONCATENATE(A1098,C1098)</f>
        <v>Беломорская ул., дом 8 к.1 кв. 135</v>
      </c>
      <c r="E1098" s="3">
        <f>HYPERLINK("https://sao.dolgi.msk.ru/account/1404181674/", 1404181674)</f>
        <v>1404181674</v>
      </c>
      <c r="F1098">
        <v>1657.41</v>
      </c>
    </row>
    <row r="1099" spans="1:6" hidden="1" x14ac:dyDescent="0.25">
      <c r="A1099" t="s">
        <v>415</v>
      </c>
      <c r="B1099" t="s">
        <v>140</v>
      </c>
      <c r="E1099" s="3">
        <f>HYPERLINK("https://sao.dolgi.msk.ru/account/1404183805/", 1404183805)</f>
        <v>1404183805</v>
      </c>
      <c r="F1099">
        <v>-2736.27</v>
      </c>
    </row>
    <row r="1100" spans="1:6" hidden="1" x14ac:dyDescent="0.25">
      <c r="A1100" t="s">
        <v>415</v>
      </c>
      <c r="B1100" t="s">
        <v>141</v>
      </c>
      <c r="E1100" s="3">
        <f>HYPERLINK("https://sao.dolgi.msk.ru/account/1404182335/", 1404182335)</f>
        <v>1404182335</v>
      </c>
      <c r="F1100">
        <v>-2662.31</v>
      </c>
    </row>
    <row r="1101" spans="1:6" hidden="1" x14ac:dyDescent="0.25">
      <c r="A1101" t="s">
        <v>415</v>
      </c>
      <c r="B1101" t="s">
        <v>142</v>
      </c>
      <c r="E1101" s="3">
        <f>HYPERLINK("https://sao.dolgi.msk.ru/account/1404183207/", 1404183207)</f>
        <v>1404183207</v>
      </c>
      <c r="F1101">
        <v>-1737.89</v>
      </c>
    </row>
    <row r="1102" spans="1:6" hidden="1" x14ac:dyDescent="0.25">
      <c r="A1102" t="s">
        <v>415</v>
      </c>
      <c r="B1102" t="s">
        <v>143</v>
      </c>
      <c r="E1102" s="3">
        <f>HYPERLINK("https://sao.dolgi.msk.ru/account/1404183426/", 1404183426)</f>
        <v>1404183426</v>
      </c>
      <c r="F1102">
        <v>0</v>
      </c>
    </row>
    <row r="1103" spans="1:6" hidden="1" x14ac:dyDescent="0.25">
      <c r="A1103" t="s">
        <v>415</v>
      </c>
      <c r="B1103" t="s">
        <v>144</v>
      </c>
      <c r="E1103" s="3">
        <f>HYPERLINK("https://sao.dolgi.msk.ru/account/1404182589/", 1404182589)</f>
        <v>1404182589</v>
      </c>
      <c r="F1103">
        <v>-984.5</v>
      </c>
    </row>
    <row r="1104" spans="1:6" hidden="1" x14ac:dyDescent="0.25">
      <c r="A1104" t="s">
        <v>415</v>
      </c>
      <c r="B1104" t="s">
        <v>145</v>
      </c>
      <c r="E1104" s="3">
        <f>HYPERLINK("https://sao.dolgi.msk.ru/account/1404183661/", 1404183661)</f>
        <v>1404183661</v>
      </c>
      <c r="F1104">
        <v>-1812.4</v>
      </c>
    </row>
    <row r="1105" spans="1:6" hidden="1" x14ac:dyDescent="0.25">
      <c r="A1105" t="s">
        <v>415</v>
      </c>
      <c r="B1105" t="s">
        <v>146</v>
      </c>
      <c r="E1105" s="3">
        <f>HYPERLINK("https://sao.dolgi.msk.ru/account/1404183311/", 1404183311)</f>
        <v>1404183311</v>
      </c>
      <c r="F1105">
        <v>-1724.04</v>
      </c>
    </row>
    <row r="1106" spans="1:6" hidden="1" x14ac:dyDescent="0.25">
      <c r="A1106" t="s">
        <v>415</v>
      </c>
      <c r="B1106" t="s">
        <v>147</v>
      </c>
      <c r="E1106" s="3">
        <f>HYPERLINK("https://sao.dolgi.msk.ru/account/1404182108/", 1404182108)</f>
        <v>1404182108</v>
      </c>
      <c r="F1106">
        <v>-2403.48</v>
      </c>
    </row>
    <row r="1107" spans="1:6" hidden="1" x14ac:dyDescent="0.25">
      <c r="A1107" t="s">
        <v>415</v>
      </c>
      <c r="B1107" t="s">
        <v>148</v>
      </c>
      <c r="E1107" s="3">
        <f>HYPERLINK("https://sao.dolgi.msk.ru/account/1404182765/", 1404182765)</f>
        <v>1404182765</v>
      </c>
      <c r="F1107">
        <v>-3503.53</v>
      </c>
    </row>
    <row r="1108" spans="1:6" hidden="1" x14ac:dyDescent="0.25">
      <c r="A1108" t="s">
        <v>415</v>
      </c>
      <c r="B1108" t="s">
        <v>149</v>
      </c>
      <c r="E1108" s="3">
        <f>HYPERLINK("https://sao.dolgi.msk.ru/account/1404182829/", 1404182829)</f>
        <v>1404182829</v>
      </c>
      <c r="F1108">
        <v>-1658.91</v>
      </c>
    </row>
    <row r="1109" spans="1:6" hidden="1" x14ac:dyDescent="0.25">
      <c r="A1109" t="s">
        <v>415</v>
      </c>
      <c r="B1109" t="s">
        <v>150</v>
      </c>
      <c r="E1109" s="3">
        <f>HYPERLINK("https://sao.dolgi.msk.ru/account/1404183936/", 1404183936)</f>
        <v>1404183936</v>
      </c>
      <c r="F1109">
        <v>-956.78</v>
      </c>
    </row>
    <row r="1110" spans="1:6" x14ac:dyDescent="0.25">
      <c r="A1110" t="s">
        <v>415</v>
      </c>
      <c r="B1110" t="s">
        <v>151</v>
      </c>
      <c r="C1110" s="5" t="str">
        <f t="shared" ref="C1110:C1112" si="40">" кв. "&amp;B1110</f>
        <v xml:space="preserve"> кв. 147</v>
      </c>
      <c r="D1110" s="5" t="str">
        <f>CONCATENATE(A1110,C1110)</f>
        <v>Беломорская ул., дом 8 к.1 кв. 147</v>
      </c>
      <c r="E1110" s="3">
        <f>HYPERLINK("https://sao.dolgi.msk.ru/account/1404182271/", 1404182271)</f>
        <v>1404182271</v>
      </c>
      <c r="F1110">
        <v>1651.09</v>
      </c>
    </row>
    <row r="1111" spans="1:6" x14ac:dyDescent="0.25">
      <c r="A1111" t="s">
        <v>415</v>
      </c>
      <c r="B1111" t="s">
        <v>152</v>
      </c>
      <c r="C1111" s="5" t="str">
        <f t="shared" si="40"/>
        <v xml:space="preserve"> кв. 148</v>
      </c>
      <c r="D1111" s="5" t="str">
        <f>CONCATENATE(A1111,C1111)</f>
        <v>Беломорская ул., дом 8 к.1 кв. 148</v>
      </c>
      <c r="E1111" s="3">
        <f>HYPERLINK("https://sao.dolgi.msk.ru/account/1404183928/", 1404183928)</f>
        <v>1404183928</v>
      </c>
      <c r="F1111">
        <v>2384.9</v>
      </c>
    </row>
    <row r="1112" spans="1:6" x14ac:dyDescent="0.25">
      <c r="A1112" t="s">
        <v>415</v>
      </c>
      <c r="B1112" t="s">
        <v>153</v>
      </c>
      <c r="C1112" s="5" t="str">
        <f t="shared" si="40"/>
        <v xml:space="preserve"> кв. 149</v>
      </c>
      <c r="D1112" s="5" t="str">
        <f>CONCATENATE(A1112,C1112)</f>
        <v>Беломорская ул., дом 8 к.1 кв. 149</v>
      </c>
      <c r="E1112" s="3">
        <f>HYPERLINK("https://sao.dolgi.msk.ru/account/1404182052/", 1404182052)</f>
        <v>1404182052</v>
      </c>
      <c r="F1112">
        <v>1818.73</v>
      </c>
    </row>
    <row r="1113" spans="1:6" hidden="1" x14ac:dyDescent="0.25">
      <c r="A1113" t="s">
        <v>415</v>
      </c>
      <c r="B1113" t="s">
        <v>154</v>
      </c>
      <c r="E1113" s="3">
        <f>HYPERLINK("https://sao.dolgi.msk.ru/account/1404183215/", 1404183215)</f>
        <v>1404183215</v>
      </c>
      <c r="F1113">
        <v>0</v>
      </c>
    </row>
    <row r="1114" spans="1:6" hidden="1" x14ac:dyDescent="0.25">
      <c r="A1114" t="s">
        <v>415</v>
      </c>
      <c r="B1114" t="s">
        <v>155</v>
      </c>
      <c r="E1114" s="3">
        <f>HYPERLINK("https://sao.dolgi.msk.ru/account/1404182431/", 1404182431)</f>
        <v>1404182431</v>
      </c>
      <c r="F1114">
        <v>-1640.84</v>
      </c>
    </row>
    <row r="1115" spans="1:6" hidden="1" x14ac:dyDescent="0.25">
      <c r="A1115" t="s">
        <v>415</v>
      </c>
      <c r="B1115" t="s">
        <v>156</v>
      </c>
      <c r="E1115" s="3">
        <f>HYPERLINK("https://sao.dolgi.msk.ru/account/1404181658/", 1404181658)</f>
        <v>1404181658</v>
      </c>
      <c r="F1115">
        <v>-3485.04</v>
      </c>
    </row>
    <row r="1116" spans="1:6" hidden="1" x14ac:dyDescent="0.25">
      <c r="A1116" t="s">
        <v>415</v>
      </c>
      <c r="B1116" t="s">
        <v>157</v>
      </c>
      <c r="E1116" s="3">
        <f>HYPERLINK("https://sao.dolgi.msk.ru/account/1404183004/", 1404183004)</f>
        <v>1404183004</v>
      </c>
      <c r="F1116">
        <v>0</v>
      </c>
    </row>
    <row r="1117" spans="1:6" hidden="1" x14ac:dyDescent="0.25">
      <c r="A1117" t="s">
        <v>415</v>
      </c>
      <c r="B1117" t="s">
        <v>158</v>
      </c>
      <c r="E1117" s="3">
        <f>HYPERLINK("https://sao.dolgi.msk.ru/account/1404183469/", 1404183469)</f>
        <v>1404183469</v>
      </c>
      <c r="F1117">
        <v>-1728.66</v>
      </c>
    </row>
    <row r="1118" spans="1:6" hidden="1" x14ac:dyDescent="0.25">
      <c r="A1118" t="s">
        <v>415</v>
      </c>
      <c r="B1118" t="s">
        <v>159</v>
      </c>
      <c r="E1118" s="3">
        <f>HYPERLINK("https://sao.dolgi.msk.ru/account/1404183549/", 1404183549)</f>
        <v>1404183549</v>
      </c>
      <c r="F1118">
        <v>-2421.9699999999998</v>
      </c>
    </row>
    <row r="1119" spans="1:6" hidden="1" x14ac:dyDescent="0.25">
      <c r="A1119" t="s">
        <v>415</v>
      </c>
      <c r="B1119" t="s">
        <v>160</v>
      </c>
      <c r="E1119" s="3">
        <f>HYPERLINK("https://sao.dolgi.msk.ru/account/1404183776/", 1404183776)</f>
        <v>1404183776</v>
      </c>
      <c r="F1119">
        <v>-2950.55</v>
      </c>
    </row>
    <row r="1120" spans="1:6" x14ac:dyDescent="0.25">
      <c r="A1120" t="s">
        <v>415</v>
      </c>
      <c r="B1120" t="s">
        <v>161</v>
      </c>
      <c r="C1120" s="5" t="str">
        <f t="shared" ref="C1120:C1121" si="41">" кв. "&amp;B1120</f>
        <v xml:space="preserve"> кв. 157</v>
      </c>
      <c r="D1120" s="5" t="str">
        <f>CONCATENATE(A1120,C1120)</f>
        <v>Беломорская ул., дом 8 к.1 кв. 157</v>
      </c>
      <c r="E1120" s="3">
        <f>HYPERLINK("https://sao.dolgi.msk.ru/account/1404182212/", 1404182212)</f>
        <v>1404182212</v>
      </c>
      <c r="F1120">
        <v>1821.89</v>
      </c>
    </row>
    <row r="1121" spans="1:6" x14ac:dyDescent="0.25">
      <c r="A1121" t="s">
        <v>415</v>
      </c>
      <c r="B1121" t="s">
        <v>162</v>
      </c>
      <c r="C1121" s="5" t="str">
        <f t="shared" si="41"/>
        <v xml:space="preserve"> кв. 158</v>
      </c>
      <c r="D1121" s="5" t="str">
        <f>CONCATENATE(A1121,C1121)</f>
        <v>Беломорская ул., дом 8 к.1 кв. 158</v>
      </c>
      <c r="E1121" s="3">
        <f>HYPERLINK("https://sao.dolgi.msk.ru/account/1404182036/", 1404182036)</f>
        <v>1404182036</v>
      </c>
      <c r="F1121">
        <v>1189.29</v>
      </c>
    </row>
    <row r="1122" spans="1:6" hidden="1" x14ac:dyDescent="0.25">
      <c r="A1122" t="s">
        <v>415</v>
      </c>
      <c r="B1122" t="s">
        <v>163</v>
      </c>
      <c r="E1122" s="3">
        <f>HYPERLINK("https://sao.dolgi.msk.ru/account/1404182626/", 1404182626)</f>
        <v>1404182626</v>
      </c>
      <c r="F1122">
        <v>0</v>
      </c>
    </row>
    <row r="1123" spans="1:6" hidden="1" x14ac:dyDescent="0.25">
      <c r="A1123" t="s">
        <v>415</v>
      </c>
      <c r="B1123" t="s">
        <v>164</v>
      </c>
      <c r="E1123" s="3">
        <f>HYPERLINK("https://sao.dolgi.msk.ru/account/1404183522/", 1404183522)</f>
        <v>1404183522</v>
      </c>
      <c r="F1123">
        <v>-2603.19</v>
      </c>
    </row>
    <row r="1124" spans="1:6" hidden="1" x14ac:dyDescent="0.25">
      <c r="A1124" t="s">
        <v>415</v>
      </c>
      <c r="B1124" t="s">
        <v>165</v>
      </c>
      <c r="E1124" s="3">
        <f>HYPERLINK("https://sao.dolgi.msk.ru/account/1404181842/", 1404181842)</f>
        <v>1404181842</v>
      </c>
      <c r="F1124">
        <v>0</v>
      </c>
    </row>
    <row r="1125" spans="1:6" hidden="1" x14ac:dyDescent="0.25">
      <c r="A1125" t="s">
        <v>415</v>
      </c>
      <c r="B1125" t="s">
        <v>166</v>
      </c>
      <c r="E1125" s="3">
        <f>HYPERLINK("https://sao.dolgi.msk.ru/account/1404183557/", 1404183557)</f>
        <v>1404183557</v>
      </c>
      <c r="F1125">
        <v>-1340.47</v>
      </c>
    </row>
    <row r="1126" spans="1:6" hidden="1" x14ac:dyDescent="0.25">
      <c r="A1126" t="s">
        <v>415</v>
      </c>
      <c r="B1126" t="s">
        <v>167</v>
      </c>
      <c r="E1126" s="3">
        <f>HYPERLINK("https://sao.dolgi.msk.ru/account/1404183653/", 1404183653)</f>
        <v>1404183653</v>
      </c>
      <c r="F1126">
        <v>-1507.76</v>
      </c>
    </row>
    <row r="1127" spans="1:6" hidden="1" x14ac:dyDescent="0.25">
      <c r="A1127" t="s">
        <v>415</v>
      </c>
      <c r="B1127" t="s">
        <v>168</v>
      </c>
      <c r="E1127" s="3">
        <f>HYPERLINK("https://sao.dolgi.msk.ru/account/1404182298/", 1404182298)</f>
        <v>1404182298</v>
      </c>
      <c r="F1127">
        <v>-2158.7800000000002</v>
      </c>
    </row>
    <row r="1128" spans="1:6" hidden="1" x14ac:dyDescent="0.25">
      <c r="A1128" t="s">
        <v>415</v>
      </c>
      <c r="B1128" t="s">
        <v>169</v>
      </c>
      <c r="E1128" s="3">
        <f>HYPERLINK("https://sao.dolgi.msk.ru/account/1404183362/", 1404183362)</f>
        <v>1404183362</v>
      </c>
      <c r="F1128">
        <v>0</v>
      </c>
    </row>
    <row r="1129" spans="1:6" hidden="1" x14ac:dyDescent="0.25">
      <c r="A1129" t="s">
        <v>415</v>
      </c>
      <c r="B1129" t="s">
        <v>170</v>
      </c>
      <c r="E1129" s="3">
        <f>HYPERLINK("https://sao.dolgi.msk.ru/account/1404182909/", 1404182909)</f>
        <v>1404182909</v>
      </c>
      <c r="F1129">
        <v>0</v>
      </c>
    </row>
    <row r="1130" spans="1:6" hidden="1" x14ac:dyDescent="0.25">
      <c r="A1130" t="s">
        <v>415</v>
      </c>
      <c r="B1130" t="s">
        <v>171</v>
      </c>
      <c r="E1130" s="3">
        <f>HYPERLINK("https://sao.dolgi.msk.ru/account/1404183864/", 1404183864)</f>
        <v>1404183864</v>
      </c>
      <c r="F1130">
        <v>-2031.91</v>
      </c>
    </row>
    <row r="1131" spans="1:6" hidden="1" x14ac:dyDescent="0.25">
      <c r="A1131" t="s">
        <v>415</v>
      </c>
      <c r="B1131" t="s">
        <v>172</v>
      </c>
      <c r="E1131" s="3">
        <f>HYPERLINK("https://sao.dolgi.msk.ru/account/1404181762/", 1404181762)</f>
        <v>1404181762</v>
      </c>
      <c r="F1131">
        <v>-2934.98</v>
      </c>
    </row>
    <row r="1132" spans="1:6" hidden="1" x14ac:dyDescent="0.25">
      <c r="A1132" t="s">
        <v>415</v>
      </c>
      <c r="B1132" t="s">
        <v>173</v>
      </c>
      <c r="E1132" s="3">
        <f>HYPERLINK("https://sao.dolgi.msk.ru/account/1404181738/", 1404181738)</f>
        <v>1404181738</v>
      </c>
      <c r="F1132">
        <v>0</v>
      </c>
    </row>
    <row r="1133" spans="1:6" hidden="1" x14ac:dyDescent="0.25">
      <c r="A1133" t="s">
        <v>415</v>
      </c>
      <c r="B1133" t="s">
        <v>174</v>
      </c>
      <c r="E1133" s="3">
        <f>HYPERLINK("https://sao.dolgi.msk.ru/account/1404181439/", 1404181439)</f>
        <v>1404181439</v>
      </c>
      <c r="F1133">
        <v>0</v>
      </c>
    </row>
    <row r="1134" spans="1:6" x14ac:dyDescent="0.25">
      <c r="A1134" t="s">
        <v>415</v>
      </c>
      <c r="B1134" t="s">
        <v>175</v>
      </c>
      <c r="C1134" s="5" t="str">
        <f t="shared" ref="C1134:C1135" si="42">" кв. "&amp;B1134</f>
        <v xml:space="preserve"> кв. 171</v>
      </c>
      <c r="D1134" s="5" t="str">
        <f>CONCATENATE(A1134,C1134)</f>
        <v>Беломорская ул., дом 8 к.1 кв. 171</v>
      </c>
      <c r="E1134" s="3">
        <f>HYPERLINK("https://sao.dolgi.msk.ru/account/1404181906/", 1404181906)</f>
        <v>1404181906</v>
      </c>
      <c r="F1134">
        <v>1651.09</v>
      </c>
    </row>
    <row r="1135" spans="1:6" x14ac:dyDescent="0.25">
      <c r="A1135" t="s">
        <v>415</v>
      </c>
      <c r="B1135" t="s">
        <v>176</v>
      </c>
      <c r="C1135" s="5" t="str">
        <f t="shared" si="42"/>
        <v xml:space="preserve"> кв. 172</v>
      </c>
      <c r="D1135" s="5" t="str">
        <f>CONCATENATE(A1135,C1135)</f>
        <v>Беломорская ул., дом 8 к.1 кв. 172</v>
      </c>
      <c r="E1135" s="3">
        <f>HYPERLINK("https://sao.dolgi.msk.ru/account/1404182159/", 1404182159)</f>
        <v>1404182159</v>
      </c>
      <c r="F1135">
        <v>2388.0700000000002</v>
      </c>
    </row>
    <row r="1136" spans="1:6" hidden="1" x14ac:dyDescent="0.25">
      <c r="A1136" t="s">
        <v>415</v>
      </c>
      <c r="B1136" t="s">
        <v>177</v>
      </c>
      <c r="E1136" s="3">
        <f>HYPERLINK("https://sao.dolgi.msk.ru/account/1404182896/", 1404182896)</f>
        <v>1404182896</v>
      </c>
      <c r="F1136">
        <v>0</v>
      </c>
    </row>
    <row r="1137" spans="1:6" hidden="1" x14ac:dyDescent="0.25">
      <c r="A1137" t="s">
        <v>415</v>
      </c>
      <c r="B1137" t="s">
        <v>178</v>
      </c>
      <c r="E1137" s="3">
        <f>HYPERLINK("https://sao.dolgi.msk.ru/account/1404181789/", 1404181789)</f>
        <v>1404181789</v>
      </c>
      <c r="F1137">
        <v>-1724.04</v>
      </c>
    </row>
    <row r="1138" spans="1:6" hidden="1" x14ac:dyDescent="0.25">
      <c r="A1138" t="s">
        <v>415</v>
      </c>
      <c r="B1138" t="s">
        <v>179</v>
      </c>
      <c r="E1138" s="3">
        <f>HYPERLINK("https://sao.dolgi.msk.ru/account/1404182773/", 1404182773)</f>
        <v>1404182773</v>
      </c>
      <c r="F1138">
        <v>-2412.73</v>
      </c>
    </row>
    <row r="1139" spans="1:6" hidden="1" x14ac:dyDescent="0.25">
      <c r="A1139" t="s">
        <v>415</v>
      </c>
      <c r="B1139" t="s">
        <v>180</v>
      </c>
      <c r="E1139" s="3">
        <f>HYPERLINK("https://sao.dolgi.msk.ru/account/1404183709/", 1404183709)</f>
        <v>1404183709</v>
      </c>
      <c r="F1139">
        <v>0</v>
      </c>
    </row>
    <row r="1140" spans="1:6" hidden="1" x14ac:dyDescent="0.25">
      <c r="A1140" t="s">
        <v>415</v>
      </c>
      <c r="B1140" t="s">
        <v>181</v>
      </c>
      <c r="E1140" s="3">
        <f>HYPERLINK("https://sao.dolgi.msk.ru/account/1404182714/", 1404182714)</f>
        <v>1404182714</v>
      </c>
      <c r="F1140">
        <v>-2657.69</v>
      </c>
    </row>
    <row r="1141" spans="1:6" x14ac:dyDescent="0.25">
      <c r="A1141" t="s">
        <v>415</v>
      </c>
      <c r="B1141" t="s">
        <v>182</v>
      </c>
      <c r="C1141" s="5" t="str">
        <f>" кв. "&amp;B1141</f>
        <v xml:space="preserve"> кв. 178</v>
      </c>
      <c r="D1141" s="5" t="str">
        <f>CONCATENATE(A1141,C1141)</f>
        <v>Беломорская ул., дом 8 к.1 кв. 178</v>
      </c>
      <c r="E1141" s="3">
        <f>HYPERLINK("https://sao.dolgi.msk.ru/account/1404182263/", 1404182263)</f>
        <v>1404182263</v>
      </c>
      <c r="F1141">
        <v>1176.6400000000001</v>
      </c>
    </row>
    <row r="1142" spans="1:6" hidden="1" x14ac:dyDescent="0.25">
      <c r="A1142" t="s">
        <v>415</v>
      </c>
      <c r="B1142" t="s">
        <v>183</v>
      </c>
      <c r="E1142" s="3">
        <f>HYPERLINK("https://sao.dolgi.msk.ru/account/1404183434/", 1404183434)</f>
        <v>1404183434</v>
      </c>
      <c r="F1142">
        <v>0</v>
      </c>
    </row>
    <row r="1143" spans="1:6" hidden="1" x14ac:dyDescent="0.25">
      <c r="A1143" t="s">
        <v>415</v>
      </c>
      <c r="B1143" t="s">
        <v>184</v>
      </c>
      <c r="E1143" s="3">
        <f>HYPERLINK("https://sao.dolgi.msk.ru/account/1404183979/", 1404183979)</f>
        <v>1404183979</v>
      </c>
      <c r="F1143">
        <v>-3489.67</v>
      </c>
    </row>
    <row r="1144" spans="1:6" hidden="1" x14ac:dyDescent="0.25">
      <c r="A1144" t="s">
        <v>415</v>
      </c>
      <c r="B1144" t="s">
        <v>185</v>
      </c>
      <c r="E1144" s="3">
        <f>HYPERLINK("https://sao.dolgi.msk.ru/account/1404182351/", 1404182351)</f>
        <v>1404182351</v>
      </c>
      <c r="F1144">
        <v>-2653.06</v>
      </c>
    </row>
    <row r="1145" spans="1:6" x14ac:dyDescent="0.25">
      <c r="A1145" t="s">
        <v>415</v>
      </c>
      <c r="B1145" t="s">
        <v>186</v>
      </c>
      <c r="C1145" s="5" t="str">
        <f t="shared" ref="C1145:C1146" si="43">" кв. "&amp;B1145</f>
        <v xml:space="preserve"> кв. 182</v>
      </c>
      <c r="D1145" s="5" t="str">
        <f>CONCATENATE(A1145,C1145)</f>
        <v>Беломорская ул., дом 8 к.1 кв. 182</v>
      </c>
      <c r="E1145" s="3">
        <f>HYPERLINK("https://sao.dolgi.msk.ru/account/1404181965/", 1404181965)</f>
        <v>1404181965</v>
      </c>
      <c r="F1145">
        <v>1182.96</v>
      </c>
    </row>
    <row r="1146" spans="1:6" x14ac:dyDescent="0.25">
      <c r="A1146" t="s">
        <v>415</v>
      </c>
      <c r="B1146" t="s">
        <v>187</v>
      </c>
      <c r="C1146" s="5" t="str">
        <f t="shared" si="43"/>
        <v xml:space="preserve"> кв. 183</v>
      </c>
      <c r="D1146" s="5" t="str">
        <f>CONCATENATE(A1146,C1146)</f>
        <v>Беломорская ул., дом 8 к.1 кв. 183</v>
      </c>
      <c r="E1146" s="3">
        <f>HYPERLINK("https://sao.dolgi.msk.ru/account/1404183944/", 1404183944)</f>
        <v>1404183944</v>
      </c>
      <c r="F1146">
        <v>1660.58</v>
      </c>
    </row>
    <row r="1147" spans="1:6" hidden="1" x14ac:dyDescent="0.25">
      <c r="A1147" t="s">
        <v>415</v>
      </c>
      <c r="B1147" t="s">
        <v>188</v>
      </c>
      <c r="E1147" s="3">
        <f>HYPERLINK("https://sao.dolgi.msk.ru/account/1404181711/", 1404181711)</f>
        <v>1404181711</v>
      </c>
      <c r="F1147">
        <v>-3489.67</v>
      </c>
    </row>
    <row r="1148" spans="1:6" hidden="1" x14ac:dyDescent="0.25">
      <c r="A1148" t="s">
        <v>415</v>
      </c>
      <c r="B1148" t="s">
        <v>189</v>
      </c>
      <c r="E1148" s="3">
        <f>HYPERLINK("https://sao.dolgi.msk.ru/account/1404182239/", 1404182239)</f>
        <v>1404182239</v>
      </c>
      <c r="F1148">
        <v>-2671.55</v>
      </c>
    </row>
    <row r="1149" spans="1:6" hidden="1" x14ac:dyDescent="0.25">
      <c r="A1149" t="s">
        <v>415</v>
      </c>
      <c r="B1149" t="s">
        <v>190</v>
      </c>
      <c r="E1149" s="3">
        <f>HYPERLINK("https://sao.dolgi.msk.ru/account/1404183418/", 1404183418)</f>
        <v>1404183418</v>
      </c>
      <c r="F1149">
        <v>-1719.42</v>
      </c>
    </row>
    <row r="1150" spans="1:6" x14ac:dyDescent="0.25">
      <c r="A1150" t="s">
        <v>415</v>
      </c>
      <c r="B1150" t="s">
        <v>191</v>
      </c>
      <c r="C1150" s="5" t="str">
        <f>" кв. "&amp;B1150</f>
        <v xml:space="preserve"> кв. 187</v>
      </c>
      <c r="D1150" s="5" t="str">
        <f>CONCATENATE(A1150,C1150)</f>
        <v>Беломорская ул., дом 8 к.1 кв. 187</v>
      </c>
      <c r="E1150" s="3">
        <f>HYPERLINK("https://sao.dolgi.msk.ru/account/1404181412/", 1404181412)</f>
        <v>1404181412</v>
      </c>
      <c r="F1150">
        <v>1651.09</v>
      </c>
    </row>
    <row r="1151" spans="1:6" hidden="1" x14ac:dyDescent="0.25">
      <c r="A1151" t="s">
        <v>415</v>
      </c>
      <c r="B1151" t="s">
        <v>192</v>
      </c>
      <c r="E1151" s="3">
        <f>HYPERLINK("https://sao.dolgi.msk.ru/account/1404182917/", 1404182917)</f>
        <v>1404182917</v>
      </c>
      <c r="F1151">
        <v>0</v>
      </c>
    </row>
    <row r="1152" spans="1:6" hidden="1" x14ac:dyDescent="0.25">
      <c r="A1152" t="s">
        <v>415</v>
      </c>
      <c r="B1152" t="s">
        <v>193</v>
      </c>
      <c r="E1152" s="3">
        <f>HYPERLINK("https://sao.dolgi.msk.ru/account/1404183696/", 1404183696)</f>
        <v>1404183696</v>
      </c>
      <c r="F1152">
        <v>-1989.79</v>
      </c>
    </row>
    <row r="1153" spans="1:6" hidden="1" x14ac:dyDescent="0.25">
      <c r="A1153" t="s">
        <v>415</v>
      </c>
      <c r="B1153" t="s">
        <v>194</v>
      </c>
      <c r="E1153" s="3">
        <f>HYPERLINK("https://sao.dolgi.msk.ru/account/1404183872/", 1404183872)</f>
        <v>1404183872</v>
      </c>
      <c r="F1153">
        <v>0</v>
      </c>
    </row>
    <row r="1154" spans="1:6" x14ac:dyDescent="0.25">
      <c r="A1154" t="s">
        <v>415</v>
      </c>
      <c r="B1154" t="s">
        <v>195</v>
      </c>
      <c r="C1154" s="5" t="str">
        <f>" кв. "&amp;B1154</f>
        <v xml:space="preserve"> кв. 191</v>
      </c>
      <c r="D1154" s="5" t="str">
        <f>CONCATENATE(A1154,C1154)</f>
        <v>Беломорская ул., дом 8 к.1 кв. 191</v>
      </c>
      <c r="E1154" s="3">
        <f>HYPERLINK("https://sao.dolgi.msk.ru/account/1404182781/", 1404182781)</f>
        <v>1404182781</v>
      </c>
      <c r="F1154">
        <v>1654.25</v>
      </c>
    </row>
    <row r="1155" spans="1:6" hidden="1" x14ac:dyDescent="0.25">
      <c r="A1155" t="s">
        <v>415</v>
      </c>
      <c r="B1155" t="s">
        <v>196</v>
      </c>
      <c r="E1155" s="3">
        <f>HYPERLINK("https://sao.dolgi.msk.ru/account/1404183899/", 1404183899)</f>
        <v>1404183899</v>
      </c>
      <c r="F1155">
        <v>-3214.27</v>
      </c>
    </row>
    <row r="1156" spans="1:6" hidden="1" x14ac:dyDescent="0.25">
      <c r="A1156" t="s">
        <v>415</v>
      </c>
      <c r="B1156" t="s">
        <v>197</v>
      </c>
      <c r="E1156" s="3">
        <f>HYPERLINK("https://sao.dolgi.msk.ru/account/1404183952/", 1404183952)</f>
        <v>1404183952</v>
      </c>
      <c r="F1156">
        <v>-840.42</v>
      </c>
    </row>
    <row r="1157" spans="1:6" hidden="1" x14ac:dyDescent="0.25">
      <c r="A1157" t="s">
        <v>415</v>
      </c>
      <c r="B1157" t="s">
        <v>198</v>
      </c>
      <c r="E1157" s="3">
        <f>HYPERLINK("https://sao.dolgi.msk.ru/account/1404181551/", 1404181551)</f>
        <v>1404181551</v>
      </c>
      <c r="F1157">
        <v>-1724.04</v>
      </c>
    </row>
    <row r="1158" spans="1:6" hidden="1" x14ac:dyDescent="0.25">
      <c r="A1158" t="s">
        <v>415</v>
      </c>
      <c r="B1158" t="s">
        <v>199</v>
      </c>
      <c r="E1158" s="3">
        <f>HYPERLINK("https://sao.dolgi.msk.ru/account/1404182001/", 1404182001)</f>
        <v>1404182001</v>
      </c>
      <c r="F1158">
        <v>-2031.91</v>
      </c>
    </row>
    <row r="1159" spans="1:6" hidden="1" x14ac:dyDescent="0.25">
      <c r="A1159" t="s">
        <v>415</v>
      </c>
      <c r="B1159" t="s">
        <v>200</v>
      </c>
      <c r="E1159" s="3">
        <f>HYPERLINK("https://sao.dolgi.msk.ru/account/1404183354/", 1404183354)</f>
        <v>1404183354</v>
      </c>
      <c r="F1159">
        <v>-3494.29</v>
      </c>
    </row>
    <row r="1160" spans="1:6" hidden="1" x14ac:dyDescent="0.25">
      <c r="A1160" t="s">
        <v>415</v>
      </c>
      <c r="B1160" t="s">
        <v>201</v>
      </c>
      <c r="E1160" s="3">
        <f>HYPERLINK("https://sao.dolgi.msk.ru/account/1404182538/", 1404182538)</f>
        <v>1404182538</v>
      </c>
      <c r="F1160">
        <v>0</v>
      </c>
    </row>
    <row r="1161" spans="1:6" hidden="1" x14ac:dyDescent="0.25">
      <c r="A1161" t="s">
        <v>415</v>
      </c>
      <c r="B1161" t="s">
        <v>202</v>
      </c>
      <c r="E1161" s="3">
        <f>HYPERLINK("https://sao.dolgi.msk.ru/account/1404181797/", 1404181797)</f>
        <v>1404181797</v>
      </c>
      <c r="F1161">
        <v>-1478.68</v>
      </c>
    </row>
    <row r="1162" spans="1:6" x14ac:dyDescent="0.25">
      <c r="A1162" t="s">
        <v>415</v>
      </c>
      <c r="B1162" t="s">
        <v>203</v>
      </c>
      <c r="C1162" s="5" t="str">
        <f t="shared" ref="C1162:C1163" si="44">" кв. "&amp;B1162</f>
        <v xml:space="preserve"> кв. 199</v>
      </c>
      <c r="D1162" s="5" t="str">
        <f>CONCATENATE(A1162,C1162)</f>
        <v>Беломорская ул., дом 8 к.1 кв. 199</v>
      </c>
      <c r="E1162" s="3">
        <f>HYPERLINK("https://sao.dolgi.msk.ru/account/1404183477/", 1404183477)</f>
        <v>1404183477</v>
      </c>
      <c r="F1162">
        <v>1654.25</v>
      </c>
    </row>
    <row r="1163" spans="1:6" x14ac:dyDescent="0.25">
      <c r="A1163" t="s">
        <v>415</v>
      </c>
      <c r="B1163" t="s">
        <v>204</v>
      </c>
      <c r="C1163" s="5" t="str">
        <f t="shared" si="44"/>
        <v xml:space="preserve"> кв. 200</v>
      </c>
      <c r="D1163" s="5" t="str">
        <f>CONCATENATE(A1163,C1163)</f>
        <v>Беломорская ул., дом 8 к.1 кв. 200</v>
      </c>
      <c r="E1163" s="3">
        <f>HYPERLINK("https://sao.dolgi.msk.ru/account/1404183127/", 1404183127)</f>
        <v>1404183127</v>
      </c>
      <c r="F1163">
        <v>2384.9</v>
      </c>
    </row>
    <row r="1164" spans="1:6" hidden="1" x14ac:dyDescent="0.25">
      <c r="A1164" t="s">
        <v>415</v>
      </c>
      <c r="B1164" t="s">
        <v>205</v>
      </c>
      <c r="E1164" s="3">
        <f>HYPERLINK("https://sao.dolgi.msk.ru/account/1404183506/", 1404183506)</f>
        <v>1404183506</v>
      </c>
      <c r="F1164">
        <v>-1881.18</v>
      </c>
    </row>
    <row r="1165" spans="1:6" x14ac:dyDescent="0.25">
      <c r="A1165" t="s">
        <v>415</v>
      </c>
      <c r="B1165" t="s">
        <v>206</v>
      </c>
      <c r="C1165" s="5" t="str">
        <f>" кв. "&amp;B1165</f>
        <v xml:space="preserve"> кв. 202</v>
      </c>
      <c r="D1165" s="5" t="str">
        <f>CONCATENATE(A1165,C1165)</f>
        <v>Беломорская ул., дом 8 к.1 кв. 202</v>
      </c>
      <c r="E1165" s="3">
        <f>HYPERLINK("https://sao.dolgi.msk.ru/account/1404182722/", 1404182722)</f>
        <v>1404182722</v>
      </c>
      <c r="F1165">
        <v>1182.96</v>
      </c>
    </row>
    <row r="1166" spans="1:6" hidden="1" x14ac:dyDescent="0.25">
      <c r="A1166" t="s">
        <v>415</v>
      </c>
      <c r="B1166" t="s">
        <v>207</v>
      </c>
      <c r="E1166" s="3">
        <f>HYPERLINK("https://sao.dolgi.msk.ru/account/1404181471/", 1404181471)</f>
        <v>1404181471</v>
      </c>
      <c r="F1166">
        <v>-2421.9699999999998</v>
      </c>
    </row>
    <row r="1167" spans="1:6" x14ac:dyDescent="0.25">
      <c r="A1167" t="s">
        <v>415</v>
      </c>
      <c r="B1167" t="s">
        <v>208</v>
      </c>
      <c r="C1167" s="5" t="str">
        <f>" кв. "&amp;B1167</f>
        <v xml:space="preserve"> кв. 204</v>
      </c>
      <c r="D1167" s="5" t="str">
        <f>CONCATENATE(A1167,C1167)</f>
        <v>Беломорская ул., дом 8 к.1 кв. 204</v>
      </c>
      <c r="E1167" s="3">
        <f>HYPERLINK("https://sao.dolgi.msk.ru/account/1404182968/", 1404182968)</f>
        <v>1404182968</v>
      </c>
      <c r="F1167">
        <v>2381.7399999999998</v>
      </c>
    </row>
    <row r="1168" spans="1:6" hidden="1" x14ac:dyDescent="0.25">
      <c r="A1168" t="s">
        <v>415</v>
      </c>
      <c r="B1168" t="s">
        <v>209</v>
      </c>
      <c r="E1168" s="3">
        <f>HYPERLINK("https://sao.dolgi.msk.ru/account/1404183856/", 1404183856)</f>
        <v>1404183856</v>
      </c>
      <c r="F1168">
        <v>-2662.31</v>
      </c>
    </row>
    <row r="1169" spans="1:6" x14ac:dyDescent="0.25">
      <c r="A1169" t="s">
        <v>415</v>
      </c>
      <c r="B1169" t="s">
        <v>210</v>
      </c>
      <c r="C1169" s="5" t="str">
        <f>" кв. "&amp;B1169</f>
        <v xml:space="preserve"> кв. 206</v>
      </c>
      <c r="D1169" s="5" t="str">
        <f>CONCATENATE(A1169,C1169)</f>
        <v>Беломорская ул., дом 8 к.1 кв. 206</v>
      </c>
      <c r="E1169" s="3">
        <f>HYPERLINK("https://sao.dolgi.msk.ru/account/1404181922/", 1404181922)</f>
        <v>1404181922</v>
      </c>
      <c r="F1169">
        <v>594.65</v>
      </c>
    </row>
    <row r="1170" spans="1:6" hidden="1" x14ac:dyDescent="0.25">
      <c r="A1170" t="s">
        <v>415</v>
      </c>
      <c r="B1170" t="s">
        <v>211</v>
      </c>
      <c r="E1170" s="3">
        <f>HYPERLINK("https://sao.dolgi.msk.ru/account/1404181973/", 1404181973)</f>
        <v>1404181973</v>
      </c>
      <c r="F1170">
        <v>-2421.9699999999998</v>
      </c>
    </row>
    <row r="1171" spans="1:6" hidden="1" x14ac:dyDescent="0.25">
      <c r="A1171" t="s">
        <v>415</v>
      </c>
      <c r="B1171" t="s">
        <v>212</v>
      </c>
      <c r="E1171" s="3">
        <f>HYPERLINK("https://sao.dolgi.msk.ru/account/1404183143/", 1404183143)</f>
        <v>1404183143</v>
      </c>
      <c r="F1171">
        <v>0</v>
      </c>
    </row>
    <row r="1172" spans="1:6" hidden="1" x14ac:dyDescent="0.25">
      <c r="A1172" t="s">
        <v>415</v>
      </c>
      <c r="B1172" t="s">
        <v>213</v>
      </c>
      <c r="E1172" s="3">
        <f>HYPERLINK("https://sao.dolgi.msk.ru/account/1404181666/", 1404181666)</f>
        <v>1404181666</v>
      </c>
      <c r="F1172">
        <v>-2662.31</v>
      </c>
    </row>
    <row r="1173" spans="1:6" x14ac:dyDescent="0.25">
      <c r="A1173" t="s">
        <v>415</v>
      </c>
      <c r="B1173" t="s">
        <v>214</v>
      </c>
      <c r="C1173" s="5" t="str">
        <f>" кв. "&amp;B1173</f>
        <v xml:space="preserve"> кв. 210</v>
      </c>
      <c r="D1173" s="5" t="str">
        <f>CONCATENATE(A1173,C1173)</f>
        <v>Беломорская ул., дом 8 к.1 кв. 210</v>
      </c>
      <c r="E1173" s="3">
        <f>HYPERLINK("https://sao.dolgi.msk.ru/account/1404181586/", 1404181586)</f>
        <v>1404181586</v>
      </c>
      <c r="F1173">
        <v>1186.1300000000001</v>
      </c>
    </row>
    <row r="1174" spans="1:6" hidden="1" x14ac:dyDescent="0.25">
      <c r="A1174" t="s">
        <v>415</v>
      </c>
      <c r="B1174" t="s">
        <v>215</v>
      </c>
      <c r="E1174" s="3">
        <f>HYPERLINK("https://sao.dolgi.msk.ru/account/1404183258/", 1404183258)</f>
        <v>1404183258</v>
      </c>
      <c r="F1174">
        <v>0</v>
      </c>
    </row>
    <row r="1175" spans="1:6" hidden="1" x14ac:dyDescent="0.25">
      <c r="A1175" t="s">
        <v>415</v>
      </c>
      <c r="B1175" t="s">
        <v>216</v>
      </c>
      <c r="E1175" s="3">
        <f>HYPERLINK("https://sao.dolgi.msk.ru/account/1404183231/", 1404183231)</f>
        <v>1404183231</v>
      </c>
      <c r="F1175">
        <v>-3512.78</v>
      </c>
    </row>
    <row r="1176" spans="1:6" x14ac:dyDescent="0.25">
      <c r="A1176" t="s">
        <v>416</v>
      </c>
      <c r="B1176" t="s">
        <v>5</v>
      </c>
      <c r="C1176" s="5" t="str">
        <f>" кв. "&amp;B1176</f>
        <v xml:space="preserve"> кв. 1</v>
      </c>
      <c r="D1176" s="5" t="str">
        <f>CONCATENATE(A1176,C1176)</f>
        <v>Беломорская ул., дом 10 к.3 кв. 1</v>
      </c>
      <c r="E1176" s="3">
        <f>HYPERLINK("https://sao.dolgi.msk.ru/account/1404184648/", 1404184648)</f>
        <v>1404184648</v>
      </c>
      <c r="F1176">
        <v>728.75</v>
      </c>
    </row>
    <row r="1177" spans="1:6" hidden="1" x14ac:dyDescent="0.25">
      <c r="A1177" t="s">
        <v>416</v>
      </c>
      <c r="B1177" t="s">
        <v>6</v>
      </c>
      <c r="E1177" s="3">
        <f>HYPERLINK("https://sao.dolgi.msk.ru/account/1404185325/", 1404185325)</f>
        <v>1404185325</v>
      </c>
      <c r="F1177">
        <v>-1294.3499999999999</v>
      </c>
    </row>
    <row r="1178" spans="1:6" hidden="1" x14ac:dyDescent="0.25">
      <c r="A1178" t="s">
        <v>416</v>
      </c>
      <c r="B1178" t="s">
        <v>7</v>
      </c>
      <c r="E1178" s="3">
        <f>HYPERLINK("https://sao.dolgi.msk.ru/account/1404184576/", 1404184576)</f>
        <v>1404184576</v>
      </c>
      <c r="F1178">
        <v>0</v>
      </c>
    </row>
    <row r="1179" spans="1:6" hidden="1" x14ac:dyDescent="0.25">
      <c r="A1179" t="s">
        <v>416</v>
      </c>
      <c r="B1179" t="s">
        <v>8</v>
      </c>
      <c r="E1179" s="3">
        <f>HYPERLINK("https://sao.dolgi.msk.ru/account/1404184533/", 1404184533)</f>
        <v>1404184533</v>
      </c>
      <c r="F1179">
        <v>-1372.75</v>
      </c>
    </row>
    <row r="1180" spans="1:6" x14ac:dyDescent="0.25">
      <c r="A1180" t="s">
        <v>416</v>
      </c>
      <c r="B1180" t="s">
        <v>9</v>
      </c>
      <c r="C1180" s="5" t="str">
        <f>" кв. "&amp;B1180</f>
        <v xml:space="preserve"> кв. 5</v>
      </c>
      <c r="D1180" s="5" t="str">
        <f>CONCATENATE(A1180,C1180)</f>
        <v>Беломорская ул., дом 10 к.3 кв. 5</v>
      </c>
      <c r="E1180" s="3">
        <f>HYPERLINK("https://sao.dolgi.msk.ru/account/1404185309/", 1404185309)</f>
        <v>1404185309</v>
      </c>
      <c r="F1180">
        <v>762.28</v>
      </c>
    </row>
    <row r="1181" spans="1:6" hidden="1" x14ac:dyDescent="0.25">
      <c r="A1181" t="s">
        <v>416</v>
      </c>
      <c r="B1181" t="s">
        <v>10</v>
      </c>
      <c r="E1181" s="3">
        <f>HYPERLINK("https://sao.dolgi.msk.ru/account/1404184517/", 1404184517)</f>
        <v>1404184517</v>
      </c>
      <c r="F1181">
        <v>-690.99</v>
      </c>
    </row>
    <row r="1182" spans="1:6" hidden="1" x14ac:dyDescent="0.25">
      <c r="A1182" t="s">
        <v>416</v>
      </c>
      <c r="B1182" t="s">
        <v>11</v>
      </c>
      <c r="E1182" s="3">
        <f>HYPERLINK("https://sao.dolgi.msk.ru/account/1404184488/", 1404184488)</f>
        <v>1404184488</v>
      </c>
      <c r="F1182">
        <v>0</v>
      </c>
    </row>
    <row r="1183" spans="1:6" x14ac:dyDescent="0.25">
      <c r="A1183" t="s">
        <v>416</v>
      </c>
      <c r="B1183" t="s">
        <v>12</v>
      </c>
      <c r="C1183" s="5" t="str">
        <f t="shared" ref="C1183:C1185" si="45">" кв. "&amp;B1183</f>
        <v xml:space="preserve"> кв. 8</v>
      </c>
      <c r="D1183" s="5" t="str">
        <f>CONCATENATE(A1183,C1183)</f>
        <v>Беломорская ул., дом 10 к.3 кв. 8</v>
      </c>
      <c r="E1183" s="3">
        <f>HYPERLINK("https://sao.dolgi.msk.ru/account/1404184381/", 1404184381)</f>
        <v>1404184381</v>
      </c>
      <c r="F1183">
        <v>967.88</v>
      </c>
    </row>
    <row r="1184" spans="1:6" x14ac:dyDescent="0.25">
      <c r="A1184" t="s">
        <v>416</v>
      </c>
      <c r="B1184" t="s">
        <v>13</v>
      </c>
      <c r="C1184" s="5" t="str">
        <f t="shared" si="45"/>
        <v xml:space="preserve"> кв. 9</v>
      </c>
      <c r="D1184" s="5" t="str">
        <f>CONCATENATE(A1184,C1184)</f>
        <v>Беломорская ул., дом 10 к.3 кв. 9</v>
      </c>
      <c r="E1184" s="3">
        <f>HYPERLINK("https://sao.dolgi.msk.ru/account/1404184429/", 1404184429)</f>
        <v>1404184429</v>
      </c>
      <c r="F1184">
        <v>774.93</v>
      </c>
    </row>
    <row r="1185" spans="1:6" x14ac:dyDescent="0.25">
      <c r="A1185" t="s">
        <v>416</v>
      </c>
      <c r="B1185" t="s">
        <v>14</v>
      </c>
      <c r="C1185" s="5" t="str">
        <f t="shared" si="45"/>
        <v xml:space="preserve"> кв. 10</v>
      </c>
      <c r="D1185" s="5" t="str">
        <f>CONCATENATE(A1185,C1185)</f>
        <v>Беломорская ул., дом 10 к.3 кв. 10</v>
      </c>
      <c r="E1185" s="3">
        <f>HYPERLINK("https://sao.dolgi.msk.ru/account/1404185114/", 1404185114)</f>
        <v>1404185114</v>
      </c>
      <c r="F1185">
        <v>948.9</v>
      </c>
    </row>
    <row r="1186" spans="1:6" hidden="1" x14ac:dyDescent="0.25">
      <c r="A1186" t="s">
        <v>416</v>
      </c>
      <c r="B1186" t="s">
        <v>15</v>
      </c>
      <c r="E1186" s="3">
        <f>HYPERLINK("https://sao.dolgi.msk.ru/account/1404184189/", 1404184189)</f>
        <v>1404184189</v>
      </c>
      <c r="F1186">
        <v>-1312.67</v>
      </c>
    </row>
    <row r="1187" spans="1:6" x14ac:dyDescent="0.25">
      <c r="A1187" t="s">
        <v>416</v>
      </c>
      <c r="B1187" t="s">
        <v>16</v>
      </c>
      <c r="C1187" s="5" t="str">
        <f t="shared" ref="C1187:C1188" si="46">" кв. "&amp;B1187</f>
        <v xml:space="preserve"> кв. 12</v>
      </c>
      <c r="D1187" s="5" t="str">
        <f>CONCATENATE(A1187,C1187)</f>
        <v>Беломорская ул., дом 10 к.3 кв. 12</v>
      </c>
      <c r="E1187" s="3">
        <f>HYPERLINK("https://sao.dolgi.msk.ru/account/1404184963/", 1404184963)</f>
        <v>1404184963</v>
      </c>
      <c r="F1187">
        <v>1002.67</v>
      </c>
    </row>
    <row r="1188" spans="1:6" x14ac:dyDescent="0.25">
      <c r="A1188" t="s">
        <v>416</v>
      </c>
      <c r="B1188" t="s">
        <v>17</v>
      </c>
      <c r="C1188" s="5" t="str">
        <f t="shared" si="46"/>
        <v xml:space="preserve"> кв. 13</v>
      </c>
      <c r="D1188" s="5" t="str">
        <f>CONCATENATE(A1188,C1188)</f>
        <v>Беломорская ул., дом 10 к.3 кв. 13</v>
      </c>
      <c r="E1188" s="3">
        <f>HYPERLINK("https://sao.dolgi.msk.ru/account/1404184437/", 1404184437)</f>
        <v>1404184437</v>
      </c>
      <c r="F1188">
        <v>1328.46</v>
      </c>
    </row>
    <row r="1189" spans="1:6" hidden="1" x14ac:dyDescent="0.25">
      <c r="A1189" t="s">
        <v>416</v>
      </c>
      <c r="B1189" t="s">
        <v>18</v>
      </c>
      <c r="E1189" s="3">
        <f>HYPERLINK("https://sao.dolgi.msk.ru/account/1404184031/", 1404184031)</f>
        <v>1404184031</v>
      </c>
      <c r="F1189">
        <v>0</v>
      </c>
    </row>
    <row r="1190" spans="1:6" x14ac:dyDescent="0.25">
      <c r="A1190" t="s">
        <v>416</v>
      </c>
      <c r="B1190" t="s">
        <v>19</v>
      </c>
      <c r="C1190" s="5" t="str">
        <f t="shared" ref="C1190:C1191" si="47">" кв. "&amp;B1190</f>
        <v xml:space="preserve"> кв. 15</v>
      </c>
      <c r="D1190" s="5" t="str">
        <f>CONCATENATE(A1190,C1190)</f>
        <v>Беломорская ул., дом 10 к.3 кв. 15</v>
      </c>
      <c r="E1190" s="3">
        <f>HYPERLINK("https://sao.dolgi.msk.ru/account/1404184541/", 1404184541)</f>
        <v>1404184541</v>
      </c>
      <c r="F1190">
        <v>888.81</v>
      </c>
    </row>
    <row r="1191" spans="1:6" x14ac:dyDescent="0.25">
      <c r="A1191" t="s">
        <v>416</v>
      </c>
      <c r="B1191" t="s">
        <v>20</v>
      </c>
      <c r="C1191" s="5" t="str">
        <f t="shared" si="47"/>
        <v xml:space="preserve"> кв. 16</v>
      </c>
      <c r="D1191" s="5" t="str">
        <f>CONCATENATE(A1191,C1191)</f>
        <v>Беломорская ул., дом 10 к.3 кв. 16</v>
      </c>
      <c r="E1191" s="3">
        <f>HYPERLINK("https://sao.dolgi.msk.ru/account/1404184736/", 1404184736)</f>
        <v>1404184736</v>
      </c>
      <c r="F1191">
        <v>1012.16</v>
      </c>
    </row>
    <row r="1192" spans="1:6" hidden="1" x14ac:dyDescent="0.25">
      <c r="A1192" t="s">
        <v>416</v>
      </c>
      <c r="B1192" t="s">
        <v>21</v>
      </c>
      <c r="E1192" s="3">
        <f>HYPERLINK("https://sao.dolgi.msk.ru/account/1404184568/", 1404184568)</f>
        <v>1404184568</v>
      </c>
      <c r="F1192">
        <v>-1950.51</v>
      </c>
    </row>
    <row r="1193" spans="1:6" x14ac:dyDescent="0.25">
      <c r="A1193" t="s">
        <v>416</v>
      </c>
      <c r="B1193" t="s">
        <v>22</v>
      </c>
      <c r="C1193" s="5" t="str">
        <f>" кв. "&amp;B1193</f>
        <v xml:space="preserve"> кв. 18</v>
      </c>
      <c r="D1193" s="5" t="str">
        <f>CONCATENATE(A1193,C1193)</f>
        <v>Беломорская ул., дом 10 к.3 кв. 18</v>
      </c>
      <c r="E1193" s="3">
        <f>HYPERLINK("https://sao.dolgi.msk.ru/account/1404185069/", 1404185069)</f>
        <v>1404185069</v>
      </c>
      <c r="F1193">
        <v>498.18</v>
      </c>
    </row>
    <row r="1194" spans="1:6" hidden="1" x14ac:dyDescent="0.25">
      <c r="A1194" t="s">
        <v>416</v>
      </c>
      <c r="B1194" t="s">
        <v>23</v>
      </c>
      <c r="E1194" s="3">
        <f>HYPERLINK("https://sao.dolgi.msk.ru/account/1404184744/", 1404184744)</f>
        <v>1404184744</v>
      </c>
      <c r="F1194">
        <v>0</v>
      </c>
    </row>
    <row r="1195" spans="1:6" hidden="1" x14ac:dyDescent="0.25">
      <c r="A1195" t="s">
        <v>416</v>
      </c>
      <c r="B1195" t="s">
        <v>24</v>
      </c>
      <c r="E1195" s="3">
        <f>HYPERLINK("https://sao.dolgi.msk.ru/account/1404184322/", 1404184322)</f>
        <v>1404184322</v>
      </c>
      <c r="F1195">
        <v>-1483.68</v>
      </c>
    </row>
    <row r="1196" spans="1:6" hidden="1" x14ac:dyDescent="0.25">
      <c r="A1196" t="s">
        <v>416</v>
      </c>
      <c r="B1196" t="s">
        <v>25</v>
      </c>
      <c r="E1196" s="3">
        <f>HYPERLINK("https://sao.dolgi.msk.ru/account/1404185333/", 1404185333)</f>
        <v>1404185333</v>
      </c>
      <c r="F1196">
        <v>0</v>
      </c>
    </row>
    <row r="1197" spans="1:6" x14ac:dyDescent="0.25">
      <c r="A1197" t="s">
        <v>416</v>
      </c>
      <c r="B1197" t="s">
        <v>26</v>
      </c>
      <c r="C1197" s="5" t="str">
        <f t="shared" ref="C1197:C1198" si="48">" кв. "&amp;B1197</f>
        <v xml:space="preserve"> кв. 22</v>
      </c>
      <c r="D1197" s="5" t="str">
        <f>CONCATENATE(A1197,C1197)</f>
        <v>Беломорская ул., дом 10 к.3 кв. 22</v>
      </c>
      <c r="E1197" s="3">
        <f>HYPERLINK("https://sao.dolgi.msk.ru/account/1404184752/", 1404184752)</f>
        <v>1404184752</v>
      </c>
      <c r="F1197">
        <v>999.51</v>
      </c>
    </row>
    <row r="1198" spans="1:6" x14ac:dyDescent="0.25">
      <c r="A1198" t="s">
        <v>416</v>
      </c>
      <c r="B1198" t="s">
        <v>27</v>
      </c>
      <c r="C1198" s="5" t="str">
        <f t="shared" si="48"/>
        <v xml:space="preserve"> кв. 23</v>
      </c>
      <c r="D1198" s="5" t="str">
        <f>CONCATENATE(A1198,C1198)</f>
        <v>Беломорская ул., дом 10 к.3 кв. 23</v>
      </c>
      <c r="E1198" s="3">
        <f>HYPERLINK("https://sao.dolgi.msk.ru/account/1404184779/", 1404184779)</f>
        <v>1404184779</v>
      </c>
      <c r="F1198">
        <v>1768.12</v>
      </c>
    </row>
    <row r="1199" spans="1:6" hidden="1" x14ac:dyDescent="0.25">
      <c r="A1199" t="s">
        <v>416</v>
      </c>
      <c r="B1199" t="s">
        <v>28</v>
      </c>
      <c r="E1199" s="3">
        <f>HYPERLINK("https://sao.dolgi.msk.ru/account/1404185341/", 1404185341)</f>
        <v>1404185341</v>
      </c>
      <c r="F1199">
        <v>-1474.44</v>
      </c>
    </row>
    <row r="1200" spans="1:6" x14ac:dyDescent="0.25">
      <c r="A1200" t="s">
        <v>416</v>
      </c>
      <c r="B1200" t="s">
        <v>29</v>
      </c>
      <c r="C1200" s="5" t="str">
        <f>" кв. "&amp;B1200</f>
        <v xml:space="preserve"> кв. 25</v>
      </c>
      <c r="D1200" s="5" t="str">
        <f>CONCATENATE(A1200,C1200)</f>
        <v>Беломорская ул., дом 10 к.3 кв. 25</v>
      </c>
      <c r="E1200" s="3">
        <f>HYPERLINK("https://sao.dolgi.msk.ru/account/1404185229/", 1404185229)</f>
        <v>1404185229</v>
      </c>
      <c r="F1200">
        <v>1347.44</v>
      </c>
    </row>
    <row r="1201" spans="1:6" hidden="1" x14ac:dyDescent="0.25">
      <c r="A1201" t="s">
        <v>416</v>
      </c>
      <c r="B1201" t="s">
        <v>30</v>
      </c>
      <c r="E1201" s="3">
        <f>HYPERLINK("https://sao.dolgi.msk.ru/account/1404184904/", 1404184904)</f>
        <v>1404184904</v>
      </c>
      <c r="F1201">
        <v>0</v>
      </c>
    </row>
    <row r="1202" spans="1:6" x14ac:dyDescent="0.25">
      <c r="A1202" t="s">
        <v>416</v>
      </c>
      <c r="B1202" t="s">
        <v>31</v>
      </c>
      <c r="C1202" s="5" t="str">
        <f t="shared" ref="C1202:C1203" si="49">" кв. "&amp;B1202</f>
        <v xml:space="preserve"> кв. 27</v>
      </c>
      <c r="D1202" s="5" t="str">
        <f>CONCATENATE(A1202,C1202)</f>
        <v>Беломорская ул., дом 10 к.3 кв. 27</v>
      </c>
      <c r="E1202" s="3">
        <f>HYPERLINK("https://sao.dolgi.msk.ru/account/1404184787/", 1404184787)</f>
        <v>1404184787</v>
      </c>
      <c r="F1202">
        <v>1780.77</v>
      </c>
    </row>
    <row r="1203" spans="1:6" x14ac:dyDescent="0.25">
      <c r="A1203" t="s">
        <v>416</v>
      </c>
      <c r="B1203" t="s">
        <v>32</v>
      </c>
      <c r="C1203" s="5" t="str">
        <f t="shared" si="49"/>
        <v xml:space="preserve"> кв. 28</v>
      </c>
      <c r="D1203" s="5" t="str">
        <f>CONCATENATE(A1203,C1203)</f>
        <v>Беломорская ул., дом 10 к.3 кв. 28</v>
      </c>
      <c r="E1203" s="3">
        <f>HYPERLINK("https://sao.dolgi.msk.ru/account/1404184912/", 1404184912)</f>
        <v>1404184912</v>
      </c>
      <c r="F1203">
        <v>1012.16</v>
      </c>
    </row>
    <row r="1204" spans="1:6" hidden="1" x14ac:dyDescent="0.25">
      <c r="A1204" t="s">
        <v>416</v>
      </c>
      <c r="B1204" t="s">
        <v>33</v>
      </c>
      <c r="E1204" s="3">
        <f>HYPERLINK("https://sao.dolgi.msk.ru/account/1404184349/", 1404184349)</f>
        <v>1404184349</v>
      </c>
      <c r="F1204">
        <v>-1969</v>
      </c>
    </row>
    <row r="1205" spans="1:6" hidden="1" x14ac:dyDescent="0.25">
      <c r="A1205" t="s">
        <v>416</v>
      </c>
      <c r="B1205" t="s">
        <v>34</v>
      </c>
      <c r="E1205" s="3">
        <f>HYPERLINK("https://sao.dolgi.msk.ru/account/1404184939/", 1404184939)</f>
        <v>1404184939</v>
      </c>
      <c r="F1205">
        <v>-716.42</v>
      </c>
    </row>
    <row r="1206" spans="1:6" hidden="1" x14ac:dyDescent="0.25">
      <c r="A1206" t="s">
        <v>416</v>
      </c>
      <c r="B1206" t="s">
        <v>35</v>
      </c>
      <c r="E1206" s="3">
        <f>HYPERLINK("https://sao.dolgi.msk.ru/account/1404184357/", 1404184357)</f>
        <v>1404184357</v>
      </c>
      <c r="F1206">
        <v>0</v>
      </c>
    </row>
    <row r="1207" spans="1:6" hidden="1" x14ac:dyDescent="0.25">
      <c r="A1207" t="s">
        <v>416</v>
      </c>
      <c r="B1207" t="s">
        <v>36</v>
      </c>
      <c r="E1207" s="3">
        <f>HYPERLINK("https://sao.dolgi.msk.ru/account/1404184584/", 1404184584)</f>
        <v>1404184584</v>
      </c>
      <c r="F1207">
        <v>-1497.55</v>
      </c>
    </row>
    <row r="1208" spans="1:6" x14ac:dyDescent="0.25">
      <c r="A1208" t="s">
        <v>416</v>
      </c>
      <c r="B1208" t="s">
        <v>37</v>
      </c>
      <c r="C1208" s="5" t="str">
        <f>" кв. "&amp;B1208</f>
        <v xml:space="preserve"> кв. 33</v>
      </c>
      <c r="D1208" s="5" t="str">
        <f>CONCATENATE(A1208,C1208)</f>
        <v>Беломорская ул., дом 10 к.3 кв. 33</v>
      </c>
      <c r="E1208" s="3">
        <f>HYPERLINK("https://sao.dolgi.msk.ru/account/1404185237/", 1404185237)</f>
        <v>1404185237</v>
      </c>
      <c r="F1208">
        <v>1331.62</v>
      </c>
    </row>
    <row r="1209" spans="1:6" hidden="1" x14ac:dyDescent="0.25">
      <c r="A1209" t="s">
        <v>416</v>
      </c>
      <c r="B1209" t="s">
        <v>38</v>
      </c>
      <c r="E1209" s="3">
        <f>HYPERLINK("https://sao.dolgi.msk.ru/account/1404184728/", 1404184728)</f>
        <v>1404184728</v>
      </c>
      <c r="F1209">
        <v>-1442.08</v>
      </c>
    </row>
    <row r="1210" spans="1:6" hidden="1" x14ac:dyDescent="0.25">
      <c r="A1210" t="s">
        <v>416</v>
      </c>
      <c r="B1210" t="s">
        <v>39</v>
      </c>
      <c r="E1210" s="3">
        <f>HYPERLINK("https://sao.dolgi.msk.ru/account/1404184234/", 1404184234)</f>
        <v>1404184234</v>
      </c>
      <c r="F1210">
        <v>-2243.56</v>
      </c>
    </row>
    <row r="1211" spans="1:6" hidden="1" x14ac:dyDescent="0.25">
      <c r="A1211" t="s">
        <v>416</v>
      </c>
      <c r="B1211" t="s">
        <v>40</v>
      </c>
      <c r="E1211" s="3">
        <f>HYPERLINK("https://sao.dolgi.msk.ru/account/1404184111/", 1404184111)</f>
        <v>1404184111</v>
      </c>
      <c r="F1211">
        <v>-1240.94</v>
      </c>
    </row>
    <row r="1212" spans="1:6" x14ac:dyDescent="0.25">
      <c r="A1212" t="s">
        <v>416</v>
      </c>
      <c r="B1212" t="s">
        <v>41</v>
      </c>
      <c r="C1212" s="5" t="str">
        <f>" кв. "&amp;B1212</f>
        <v xml:space="preserve"> кв. 37</v>
      </c>
      <c r="D1212" s="5" t="str">
        <f>CONCATENATE(A1212,C1212)</f>
        <v>Беломорская ул., дом 10 к.3 кв. 37</v>
      </c>
      <c r="E1212" s="3">
        <f>HYPERLINK("https://sao.dolgi.msk.ru/account/1404184525/", 1404184525)</f>
        <v>1404184525</v>
      </c>
      <c r="F1212">
        <v>1044.0999999999999</v>
      </c>
    </row>
    <row r="1213" spans="1:6" hidden="1" x14ac:dyDescent="0.25">
      <c r="A1213" t="s">
        <v>416</v>
      </c>
      <c r="B1213" t="s">
        <v>42</v>
      </c>
      <c r="E1213" s="3">
        <f>HYPERLINK("https://sao.dolgi.msk.ru/account/1404184699/", 1404184699)</f>
        <v>1404184699</v>
      </c>
      <c r="F1213">
        <v>0</v>
      </c>
    </row>
    <row r="1214" spans="1:6" hidden="1" x14ac:dyDescent="0.25">
      <c r="A1214" t="s">
        <v>416</v>
      </c>
      <c r="B1214" t="s">
        <v>43</v>
      </c>
      <c r="E1214" s="3">
        <f>HYPERLINK("https://sao.dolgi.msk.ru/account/1404184242/", 1404184242)</f>
        <v>1404184242</v>
      </c>
      <c r="F1214">
        <v>0</v>
      </c>
    </row>
    <row r="1215" spans="1:6" hidden="1" x14ac:dyDescent="0.25">
      <c r="A1215" t="s">
        <v>416</v>
      </c>
      <c r="B1215" t="s">
        <v>44</v>
      </c>
      <c r="E1215" s="3">
        <f>HYPERLINK("https://sao.dolgi.msk.ru/account/1404184701/", 1404184701)</f>
        <v>1404184701</v>
      </c>
      <c r="F1215">
        <v>-1391.24</v>
      </c>
    </row>
    <row r="1216" spans="1:6" hidden="1" x14ac:dyDescent="0.25">
      <c r="A1216" t="s">
        <v>416</v>
      </c>
      <c r="B1216" t="s">
        <v>45</v>
      </c>
      <c r="E1216" s="3">
        <f>HYPERLINK("https://sao.dolgi.msk.ru/account/1404184269/", 1404184269)</f>
        <v>1404184269</v>
      </c>
      <c r="F1216">
        <v>-1050.67</v>
      </c>
    </row>
    <row r="1217" spans="1:6" x14ac:dyDescent="0.25">
      <c r="A1217" t="s">
        <v>416</v>
      </c>
      <c r="B1217" t="s">
        <v>46</v>
      </c>
      <c r="C1217" s="5" t="str">
        <f t="shared" ref="C1217:C1218" si="50">" кв. "&amp;B1217</f>
        <v xml:space="preserve"> кв. 42</v>
      </c>
      <c r="D1217" s="5" t="str">
        <f>CONCATENATE(A1217,C1217)</f>
        <v>Беломорская ул., дом 10 к.3 кв. 42</v>
      </c>
      <c r="E1217" s="3">
        <f>HYPERLINK("https://sao.dolgi.msk.ru/account/1404185296/", 1404185296)</f>
        <v>1404185296</v>
      </c>
      <c r="F1217">
        <v>1736.49</v>
      </c>
    </row>
    <row r="1218" spans="1:6" x14ac:dyDescent="0.25">
      <c r="A1218" t="s">
        <v>416</v>
      </c>
      <c r="B1218" t="s">
        <v>47</v>
      </c>
      <c r="C1218" s="5" t="str">
        <f t="shared" si="50"/>
        <v xml:space="preserve"> кв. 43</v>
      </c>
      <c r="D1218" s="5" t="str">
        <f>CONCATENATE(A1218,C1218)</f>
        <v>Беломорская ул., дом 10 к.3 кв. 43</v>
      </c>
      <c r="E1218" s="3">
        <f>HYPERLINK("https://sao.dolgi.msk.ru/account/1404184832/", 1404184832)</f>
        <v>1404184832</v>
      </c>
      <c r="F1218">
        <v>1727</v>
      </c>
    </row>
    <row r="1219" spans="1:6" hidden="1" x14ac:dyDescent="0.25">
      <c r="A1219" t="s">
        <v>416</v>
      </c>
      <c r="B1219" t="s">
        <v>48</v>
      </c>
      <c r="E1219" s="3">
        <f>HYPERLINK("https://sao.dolgi.msk.ru/account/1404185165/", 1404185165)</f>
        <v>1404185165</v>
      </c>
      <c r="F1219">
        <v>-1400.49</v>
      </c>
    </row>
    <row r="1220" spans="1:6" hidden="1" x14ac:dyDescent="0.25">
      <c r="A1220" t="s">
        <v>416</v>
      </c>
      <c r="B1220" t="s">
        <v>49</v>
      </c>
      <c r="E1220" s="3">
        <f>HYPERLINK("https://sao.dolgi.msk.ru/account/1404185173/", 1404185173)</f>
        <v>1404185173</v>
      </c>
      <c r="F1220">
        <v>0</v>
      </c>
    </row>
    <row r="1221" spans="1:6" hidden="1" x14ac:dyDescent="0.25">
      <c r="A1221" t="s">
        <v>416</v>
      </c>
      <c r="B1221" t="s">
        <v>50</v>
      </c>
      <c r="E1221" s="3">
        <f>HYPERLINK("https://sao.dolgi.msk.ru/account/1404184277/", 1404184277)</f>
        <v>1404184277</v>
      </c>
      <c r="F1221">
        <v>0</v>
      </c>
    </row>
    <row r="1222" spans="1:6" hidden="1" x14ac:dyDescent="0.25">
      <c r="A1222" t="s">
        <v>416</v>
      </c>
      <c r="B1222" t="s">
        <v>51</v>
      </c>
      <c r="E1222" s="3">
        <f>HYPERLINK("https://sao.dolgi.msk.ru/account/1404184998/", 1404184998)</f>
        <v>1404184998</v>
      </c>
      <c r="F1222">
        <v>-2592.98</v>
      </c>
    </row>
    <row r="1223" spans="1:6" hidden="1" x14ac:dyDescent="0.25">
      <c r="A1223" t="s">
        <v>416</v>
      </c>
      <c r="B1223" t="s">
        <v>52</v>
      </c>
      <c r="E1223" s="3">
        <f>HYPERLINK("https://sao.dolgi.msk.ru/account/1404184891/", 1404184891)</f>
        <v>1404184891</v>
      </c>
      <c r="F1223">
        <v>-1455.95</v>
      </c>
    </row>
    <row r="1224" spans="1:6" hidden="1" x14ac:dyDescent="0.25">
      <c r="A1224" t="s">
        <v>416</v>
      </c>
      <c r="B1224" t="s">
        <v>53</v>
      </c>
      <c r="E1224" s="3">
        <f>HYPERLINK("https://sao.dolgi.msk.ru/account/1404185181/", 1404185181)</f>
        <v>1404185181</v>
      </c>
      <c r="F1224">
        <v>-1881.18</v>
      </c>
    </row>
    <row r="1225" spans="1:6" x14ac:dyDescent="0.25">
      <c r="A1225" t="s">
        <v>416</v>
      </c>
      <c r="B1225" t="s">
        <v>54</v>
      </c>
      <c r="C1225" s="5" t="str">
        <f t="shared" ref="C1225:C1227" si="51">" кв. "&amp;B1225</f>
        <v xml:space="preserve"> кв. 50</v>
      </c>
      <c r="D1225" s="5" t="str">
        <f>CONCATENATE(A1225,C1225)</f>
        <v>Беломорская ул., дом 10 к.3 кв. 50</v>
      </c>
      <c r="E1225" s="3">
        <f>HYPERLINK("https://sao.dolgi.msk.ru/account/1404184285/", 1404184285)</f>
        <v>1404184285</v>
      </c>
      <c r="F1225">
        <v>1783.93</v>
      </c>
    </row>
    <row r="1226" spans="1:6" x14ac:dyDescent="0.25">
      <c r="A1226" t="s">
        <v>416</v>
      </c>
      <c r="B1226" t="s">
        <v>55</v>
      </c>
      <c r="C1226" s="5" t="str">
        <f t="shared" si="51"/>
        <v xml:space="preserve"> кв. 51</v>
      </c>
      <c r="D1226" s="5" t="str">
        <f>CONCATENATE(A1226,C1226)</f>
        <v>Беломорская ул., дом 10 к.3 кв. 51</v>
      </c>
      <c r="E1226" s="3">
        <f>HYPERLINK("https://sao.dolgi.msk.ru/account/1404185018/", 1404185018)</f>
        <v>1404185018</v>
      </c>
      <c r="F1226">
        <v>1777.61</v>
      </c>
    </row>
    <row r="1227" spans="1:6" x14ac:dyDescent="0.25">
      <c r="A1227" t="s">
        <v>416</v>
      </c>
      <c r="B1227" t="s">
        <v>56</v>
      </c>
      <c r="C1227" s="5" t="str">
        <f t="shared" si="51"/>
        <v xml:space="preserve"> кв. 52</v>
      </c>
      <c r="D1227" s="5" t="str">
        <f>CONCATENATE(A1227,C1227)</f>
        <v>Беломорская ул., дом 10 к.3 кв. 52</v>
      </c>
      <c r="E1227" s="3">
        <f>HYPERLINK("https://sao.dolgi.msk.ru/account/1404184293/", 1404184293)</f>
        <v>1404184293</v>
      </c>
      <c r="F1227">
        <v>1005.83</v>
      </c>
    </row>
    <row r="1228" spans="1:6" hidden="1" x14ac:dyDescent="0.25">
      <c r="A1228" t="s">
        <v>416</v>
      </c>
      <c r="B1228" t="s">
        <v>57</v>
      </c>
      <c r="E1228" s="3">
        <f>HYPERLINK("https://sao.dolgi.msk.ru/account/1404185026/", 1404185026)</f>
        <v>1404185026</v>
      </c>
      <c r="F1228">
        <v>-1853.44</v>
      </c>
    </row>
    <row r="1229" spans="1:6" hidden="1" x14ac:dyDescent="0.25">
      <c r="A1229" t="s">
        <v>416</v>
      </c>
      <c r="B1229" t="s">
        <v>58</v>
      </c>
      <c r="E1229" s="3">
        <f>HYPERLINK("https://sao.dolgi.msk.ru/account/1404185034/", 1404185034)</f>
        <v>1404185034</v>
      </c>
      <c r="F1229">
        <v>-2616.1</v>
      </c>
    </row>
    <row r="1230" spans="1:6" hidden="1" x14ac:dyDescent="0.25">
      <c r="A1230" t="s">
        <v>416</v>
      </c>
      <c r="B1230" t="s">
        <v>59</v>
      </c>
      <c r="E1230" s="3">
        <f>HYPERLINK("https://sao.dolgi.msk.ru/account/1404184074/", 1404184074)</f>
        <v>1404184074</v>
      </c>
      <c r="F1230">
        <v>-2629.95</v>
      </c>
    </row>
    <row r="1231" spans="1:6" hidden="1" x14ac:dyDescent="0.25">
      <c r="A1231" t="s">
        <v>416</v>
      </c>
      <c r="B1231" t="s">
        <v>60</v>
      </c>
      <c r="E1231" s="3">
        <f>HYPERLINK("https://sao.dolgi.msk.ru/account/1404185261/", 1404185261)</f>
        <v>1404185261</v>
      </c>
      <c r="F1231">
        <v>-458.14</v>
      </c>
    </row>
    <row r="1232" spans="1:6" hidden="1" x14ac:dyDescent="0.25">
      <c r="A1232" t="s">
        <v>416</v>
      </c>
      <c r="B1232" t="s">
        <v>61</v>
      </c>
      <c r="E1232" s="3">
        <f>HYPERLINK("https://sao.dolgi.msk.ru/account/1404184509/", 1404184509)</f>
        <v>1404184509</v>
      </c>
      <c r="F1232">
        <v>-1853.44</v>
      </c>
    </row>
    <row r="1233" spans="1:6" hidden="1" x14ac:dyDescent="0.25">
      <c r="A1233" t="s">
        <v>416</v>
      </c>
      <c r="B1233" t="s">
        <v>62</v>
      </c>
      <c r="E1233" s="3">
        <f>HYPERLINK("https://sao.dolgi.msk.ru/account/1404184082/", 1404184082)</f>
        <v>1404184082</v>
      </c>
      <c r="F1233">
        <v>-1308.05</v>
      </c>
    </row>
    <row r="1234" spans="1:6" hidden="1" x14ac:dyDescent="0.25">
      <c r="A1234" t="s">
        <v>416</v>
      </c>
      <c r="B1234" t="s">
        <v>63</v>
      </c>
      <c r="E1234" s="3">
        <f>HYPERLINK("https://sao.dolgi.msk.ru/account/1404184103/", 1404184103)</f>
        <v>1404184103</v>
      </c>
      <c r="F1234">
        <v>-2276.9499999999998</v>
      </c>
    </row>
    <row r="1235" spans="1:6" hidden="1" x14ac:dyDescent="0.25">
      <c r="A1235" t="s">
        <v>416</v>
      </c>
      <c r="B1235" t="s">
        <v>64</v>
      </c>
      <c r="E1235" s="3">
        <f>HYPERLINK("https://sao.dolgi.msk.ru/account/1404185288/", 1404185288)</f>
        <v>1404185288</v>
      </c>
      <c r="F1235">
        <v>-1465.19</v>
      </c>
    </row>
    <row r="1236" spans="1:6" hidden="1" x14ac:dyDescent="0.25">
      <c r="A1236" t="s">
        <v>416</v>
      </c>
      <c r="B1236" t="s">
        <v>65</v>
      </c>
      <c r="E1236" s="3">
        <f>HYPERLINK("https://sao.dolgi.msk.ru/account/1404184947/", 1404184947)</f>
        <v>1404184947</v>
      </c>
      <c r="F1236">
        <v>-1848.82</v>
      </c>
    </row>
    <row r="1237" spans="1:6" hidden="1" x14ac:dyDescent="0.25">
      <c r="A1237" t="s">
        <v>416</v>
      </c>
      <c r="B1237" t="s">
        <v>66</v>
      </c>
      <c r="E1237" s="3">
        <f>HYPERLINK("https://sao.dolgi.msk.ru/account/1404184672/", 1404184672)</f>
        <v>1404184672</v>
      </c>
      <c r="F1237">
        <v>0</v>
      </c>
    </row>
    <row r="1238" spans="1:6" hidden="1" x14ac:dyDescent="0.25">
      <c r="A1238" t="s">
        <v>416</v>
      </c>
      <c r="B1238" t="s">
        <v>67</v>
      </c>
      <c r="E1238" s="3">
        <f>HYPERLINK("https://sao.dolgi.msk.ru/account/1404185157/", 1404185157)</f>
        <v>1404185157</v>
      </c>
      <c r="F1238">
        <v>-1527.28</v>
      </c>
    </row>
    <row r="1239" spans="1:6" hidden="1" x14ac:dyDescent="0.25">
      <c r="A1239" t="s">
        <v>416</v>
      </c>
      <c r="B1239" t="s">
        <v>68</v>
      </c>
      <c r="E1239" s="3">
        <f>HYPERLINK("https://sao.dolgi.msk.ru/account/1404184453/", 1404184453)</f>
        <v>1404184453</v>
      </c>
      <c r="F1239">
        <v>-1465.19</v>
      </c>
    </row>
    <row r="1240" spans="1:6" hidden="1" x14ac:dyDescent="0.25">
      <c r="A1240" t="s">
        <v>416</v>
      </c>
      <c r="B1240" t="s">
        <v>69</v>
      </c>
      <c r="E1240" s="3">
        <f>HYPERLINK("https://sao.dolgi.msk.ru/account/1404185122/", 1404185122)</f>
        <v>1404185122</v>
      </c>
      <c r="F1240">
        <v>-922.1</v>
      </c>
    </row>
    <row r="1241" spans="1:6" hidden="1" x14ac:dyDescent="0.25">
      <c r="A1241" t="s">
        <v>416</v>
      </c>
      <c r="B1241" t="s">
        <v>70</v>
      </c>
      <c r="E1241" s="3">
        <f>HYPERLINK("https://sao.dolgi.msk.ru/account/1404184816/", 1404184816)</f>
        <v>1404184816</v>
      </c>
      <c r="F1241">
        <v>-2629.95</v>
      </c>
    </row>
    <row r="1242" spans="1:6" hidden="1" x14ac:dyDescent="0.25">
      <c r="A1242" t="s">
        <v>416</v>
      </c>
      <c r="B1242" t="s">
        <v>71</v>
      </c>
      <c r="E1242" s="3">
        <f>HYPERLINK("https://sao.dolgi.msk.ru/account/1404184461/", 1404184461)</f>
        <v>1404184461</v>
      </c>
      <c r="F1242">
        <v>-1611.95</v>
      </c>
    </row>
    <row r="1243" spans="1:6" hidden="1" x14ac:dyDescent="0.25">
      <c r="A1243" t="s">
        <v>416</v>
      </c>
      <c r="B1243" t="s">
        <v>72</v>
      </c>
      <c r="E1243" s="3">
        <f>HYPERLINK("https://sao.dolgi.msk.ru/account/1404184971/", 1404184971)</f>
        <v>1404184971</v>
      </c>
      <c r="F1243">
        <v>0</v>
      </c>
    </row>
    <row r="1244" spans="1:6" hidden="1" x14ac:dyDescent="0.25">
      <c r="A1244" t="s">
        <v>416</v>
      </c>
      <c r="B1244" t="s">
        <v>73</v>
      </c>
      <c r="E1244" s="3">
        <f>HYPERLINK("https://sao.dolgi.msk.ru/account/1404184664/", 1404184664)</f>
        <v>1404184664</v>
      </c>
      <c r="F1244">
        <v>-1100.05</v>
      </c>
    </row>
    <row r="1245" spans="1:6" hidden="1" x14ac:dyDescent="0.25">
      <c r="A1245" t="s">
        <v>416</v>
      </c>
      <c r="B1245" t="s">
        <v>74</v>
      </c>
      <c r="E1245" s="3">
        <f>HYPERLINK("https://sao.dolgi.msk.ru/account/1404185149/", 1404185149)</f>
        <v>1404185149</v>
      </c>
      <c r="F1245">
        <v>-1844.21</v>
      </c>
    </row>
    <row r="1246" spans="1:6" hidden="1" x14ac:dyDescent="0.25">
      <c r="A1246" t="s">
        <v>416</v>
      </c>
      <c r="B1246" t="s">
        <v>75</v>
      </c>
      <c r="E1246" s="3">
        <f>HYPERLINK("https://sao.dolgi.msk.ru/account/1404184824/", 1404184824)</f>
        <v>1404184824</v>
      </c>
      <c r="F1246">
        <v>-616.36</v>
      </c>
    </row>
    <row r="1247" spans="1:6" hidden="1" x14ac:dyDescent="0.25">
      <c r="A1247" t="s">
        <v>416</v>
      </c>
      <c r="B1247" t="s">
        <v>76</v>
      </c>
      <c r="E1247" s="3">
        <f>HYPERLINK("https://sao.dolgi.msk.ru/account/1404184496/", 1404184496)</f>
        <v>1404184496</v>
      </c>
      <c r="F1247">
        <v>-1323.12</v>
      </c>
    </row>
    <row r="1248" spans="1:6" hidden="1" x14ac:dyDescent="0.25">
      <c r="A1248" t="s">
        <v>416</v>
      </c>
      <c r="B1248" t="s">
        <v>77</v>
      </c>
      <c r="E1248" s="3">
        <f>HYPERLINK("https://sao.dolgi.msk.ru/account/1404184066/", 1404184066)</f>
        <v>1404184066</v>
      </c>
      <c r="F1248">
        <v>-846.97</v>
      </c>
    </row>
    <row r="1249" spans="1:6" hidden="1" x14ac:dyDescent="0.25">
      <c r="A1249" t="s">
        <v>416</v>
      </c>
      <c r="B1249" t="s">
        <v>78</v>
      </c>
      <c r="E1249" s="3">
        <f>HYPERLINK("https://sao.dolgi.msk.ru/account/1404184058/", 1404184058)</f>
        <v>1404184058</v>
      </c>
      <c r="F1249">
        <v>-2251.7600000000002</v>
      </c>
    </row>
    <row r="1250" spans="1:6" hidden="1" x14ac:dyDescent="0.25">
      <c r="A1250" t="s">
        <v>416</v>
      </c>
      <c r="B1250" t="s">
        <v>79</v>
      </c>
      <c r="E1250" s="3">
        <f>HYPERLINK("https://sao.dolgi.msk.ru/account/1404184592/", 1404184592)</f>
        <v>1404184592</v>
      </c>
      <c r="F1250">
        <v>-1405.11</v>
      </c>
    </row>
    <row r="1251" spans="1:6" hidden="1" x14ac:dyDescent="0.25">
      <c r="A1251" t="s">
        <v>416</v>
      </c>
      <c r="B1251" t="s">
        <v>80</v>
      </c>
      <c r="E1251" s="3">
        <f>HYPERLINK("https://sao.dolgi.msk.ru/account/1404185085/", 1404185085)</f>
        <v>1404185085</v>
      </c>
      <c r="F1251">
        <v>0</v>
      </c>
    </row>
    <row r="1252" spans="1:6" x14ac:dyDescent="0.25">
      <c r="A1252" t="s">
        <v>416</v>
      </c>
      <c r="B1252" t="s">
        <v>81</v>
      </c>
      <c r="C1252" s="5" t="str">
        <f>" кв. "&amp;B1252</f>
        <v xml:space="preserve"> кв. 77</v>
      </c>
      <c r="D1252" s="5" t="str">
        <f>CONCATENATE(A1252,C1252)</f>
        <v>Беломорская ул., дом 10 к.3 кв. 77</v>
      </c>
      <c r="E1252" s="3">
        <f>HYPERLINK("https://sao.dolgi.msk.ru/account/1404184138/", 1404184138)</f>
        <v>1404184138</v>
      </c>
      <c r="F1252">
        <v>1224.08</v>
      </c>
    </row>
    <row r="1253" spans="1:6" hidden="1" x14ac:dyDescent="0.25">
      <c r="A1253" t="s">
        <v>416</v>
      </c>
      <c r="B1253" t="s">
        <v>82</v>
      </c>
      <c r="E1253" s="3">
        <f>HYPERLINK("https://sao.dolgi.msk.ru/account/1404184365/", 1404184365)</f>
        <v>1404184365</v>
      </c>
      <c r="F1253">
        <v>-2532.88</v>
      </c>
    </row>
    <row r="1254" spans="1:6" hidden="1" x14ac:dyDescent="0.25">
      <c r="A1254" t="s">
        <v>416</v>
      </c>
      <c r="B1254" t="s">
        <v>83</v>
      </c>
      <c r="E1254" s="3">
        <f>HYPERLINK("https://sao.dolgi.msk.ru/account/1404184373/", 1404184373)</f>
        <v>1404184373</v>
      </c>
      <c r="F1254">
        <v>-1395.87</v>
      </c>
    </row>
    <row r="1255" spans="1:6" hidden="1" x14ac:dyDescent="0.25">
      <c r="A1255" t="s">
        <v>416</v>
      </c>
      <c r="B1255" t="s">
        <v>84</v>
      </c>
      <c r="E1255" s="3">
        <f>HYPERLINK("https://sao.dolgi.msk.ru/account/1404184146/", 1404184146)</f>
        <v>1404184146</v>
      </c>
      <c r="F1255">
        <v>-2499</v>
      </c>
    </row>
    <row r="1256" spans="1:6" x14ac:dyDescent="0.25">
      <c r="A1256" t="s">
        <v>416</v>
      </c>
      <c r="B1256" t="s">
        <v>85</v>
      </c>
      <c r="C1256" s="5" t="str">
        <f>" кв. "&amp;B1256</f>
        <v xml:space="preserve"> кв. 81</v>
      </c>
      <c r="D1256" s="5" t="str">
        <f>CONCATENATE(A1256,C1256)</f>
        <v>Беломорская ул., дом 10 к.3 кв. 81</v>
      </c>
      <c r="E1256" s="3">
        <f>HYPERLINK("https://sao.dolgi.msk.ru/account/1404185093/", 1404185093)</f>
        <v>1404185093</v>
      </c>
      <c r="F1256">
        <v>1233.57</v>
      </c>
    </row>
    <row r="1257" spans="1:6" hidden="1" x14ac:dyDescent="0.25">
      <c r="A1257" t="s">
        <v>416</v>
      </c>
      <c r="B1257" t="s">
        <v>86</v>
      </c>
      <c r="E1257" s="3">
        <f>HYPERLINK("https://sao.dolgi.msk.ru/account/1404184955/", 1404184955)</f>
        <v>1404184955</v>
      </c>
      <c r="F1257">
        <v>-1447.38</v>
      </c>
    </row>
    <row r="1258" spans="1:6" x14ac:dyDescent="0.25">
      <c r="A1258" t="s">
        <v>416</v>
      </c>
      <c r="B1258" t="s">
        <v>87</v>
      </c>
      <c r="C1258" s="5" t="str">
        <f>" кв. "&amp;B1258</f>
        <v xml:space="preserve"> кв. 83</v>
      </c>
      <c r="D1258" s="5" t="str">
        <f>CONCATENATE(A1258,C1258)</f>
        <v>Беломорская ул., дом 10 к.3 кв. 83</v>
      </c>
      <c r="E1258" s="3">
        <f>HYPERLINK("https://sao.dolgi.msk.ru/account/1404184605/", 1404184605)</f>
        <v>1404184605</v>
      </c>
      <c r="F1258">
        <v>996.35</v>
      </c>
    </row>
    <row r="1259" spans="1:6" hidden="1" x14ac:dyDescent="0.25">
      <c r="A1259" t="s">
        <v>416</v>
      </c>
      <c r="B1259" t="s">
        <v>88</v>
      </c>
      <c r="E1259" s="3">
        <f>HYPERLINK("https://sao.dolgi.msk.ru/account/1404185106/", 1404185106)</f>
        <v>1404185106</v>
      </c>
      <c r="F1259">
        <v>-1553.01</v>
      </c>
    </row>
    <row r="1260" spans="1:6" hidden="1" x14ac:dyDescent="0.25">
      <c r="A1260" t="s">
        <v>416</v>
      </c>
      <c r="B1260" t="s">
        <v>89</v>
      </c>
      <c r="E1260" s="3">
        <f>HYPERLINK("https://sao.dolgi.msk.ru/account/1404184154/", 1404184154)</f>
        <v>1404184154</v>
      </c>
      <c r="F1260">
        <v>-461.05</v>
      </c>
    </row>
    <row r="1261" spans="1:6" hidden="1" x14ac:dyDescent="0.25">
      <c r="A1261" t="s">
        <v>416</v>
      </c>
      <c r="B1261" t="s">
        <v>89</v>
      </c>
      <c r="E1261" s="3">
        <f>HYPERLINK("https://sao.dolgi.msk.ru/account/1404184445/", 1404184445)</f>
        <v>1404184445</v>
      </c>
      <c r="F1261">
        <v>-922.1</v>
      </c>
    </row>
    <row r="1262" spans="1:6" hidden="1" x14ac:dyDescent="0.25">
      <c r="A1262" t="s">
        <v>416</v>
      </c>
      <c r="B1262" t="s">
        <v>90</v>
      </c>
      <c r="E1262" s="3">
        <f>HYPERLINK("https://sao.dolgi.msk.ru/account/1404184795/", 1404184795)</f>
        <v>1404184795</v>
      </c>
      <c r="F1262">
        <v>-2611.48</v>
      </c>
    </row>
    <row r="1263" spans="1:6" x14ac:dyDescent="0.25">
      <c r="A1263" t="s">
        <v>416</v>
      </c>
      <c r="B1263" t="s">
        <v>91</v>
      </c>
      <c r="C1263" s="5" t="str">
        <f>" кв. "&amp;B1263</f>
        <v xml:space="preserve"> кв. 87</v>
      </c>
      <c r="D1263" s="5" t="str">
        <f>CONCATENATE(A1263,C1263)</f>
        <v>Беломорская ул., дом 10 к.3 кв. 87</v>
      </c>
      <c r="E1263" s="3">
        <f>HYPERLINK("https://sao.dolgi.msk.ru/account/1404184613/", 1404184613)</f>
        <v>1404184613</v>
      </c>
      <c r="F1263">
        <v>999.51</v>
      </c>
    </row>
    <row r="1264" spans="1:6" hidden="1" x14ac:dyDescent="0.25">
      <c r="A1264" t="s">
        <v>416</v>
      </c>
      <c r="B1264" t="s">
        <v>92</v>
      </c>
      <c r="E1264" s="3">
        <f>HYPERLINK("https://sao.dolgi.msk.ru/account/1404184402/", 1404184402)</f>
        <v>1404184402</v>
      </c>
      <c r="F1264">
        <v>-1566.88</v>
      </c>
    </row>
    <row r="1265" spans="1:6" hidden="1" x14ac:dyDescent="0.25">
      <c r="A1265" t="s">
        <v>416</v>
      </c>
      <c r="B1265" t="s">
        <v>93</v>
      </c>
      <c r="E1265" s="3">
        <f>HYPERLINK("https://sao.dolgi.msk.ru/account/1404184162/", 1404184162)</f>
        <v>1404184162</v>
      </c>
      <c r="F1265">
        <v>-344.34</v>
      </c>
    </row>
    <row r="1266" spans="1:6" hidden="1" x14ac:dyDescent="0.25">
      <c r="A1266" t="s">
        <v>416</v>
      </c>
      <c r="B1266" t="s">
        <v>94</v>
      </c>
      <c r="E1266" s="3">
        <f>HYPERLINK("https://sao.dolgi.msk.ru/account/1404184621/", 1404184621)</f>
        <v>1404184621</v>
      </c>
      <c r="F1266">
        <v>-1550.62</v>
      </c>
    </row>
    <row r="1267" spans="1:6" hidden="1" x14ac:dyDescent="0.25">
      <c r="A1267" t="s">
        <v>416</v>
      </c>
      <c r="B1267" t="s">
        <v>95</v>
      </c>
      <c r="E1267" s="3">
        <f>HYPERLINK("https://sao.dolgi.msk.ru/account/1404184023/", 1404184023)</f>
        <v>1404184023</v>
      </c>
      <c r="F1267">
        <v>-1465.19</v>
      </c>
    </row>
    <row r="1268" spans="1:6" hidden="1" x14ac:dyDescent="0.25">
      <c r="A1268" t="s">
        <v>416</v>
      </c>
      <c r="B1268" t="s">
        <v>96</v>
      </c>
      <c r="E1268" s="3">
        <f>HYPERLINK("https://sao.dolgi.msk.ru/account/1404185202/", 1404185202)</f>
        <v>1404185202</v>
      </c>
      <c r="F1268">
        <v>-1548.39</v>
      </c>
    </row>
    <row r="1269" spans="1:6" hidden="1" x14ac:dyDescent="0.25">
      <c r="A1269" t="s">
        <v>416</v>
      </c>
      <c r="B1269" t="s">
        <v>97</v>
      </c>
      <c r="E1269" s="3">
        <f>HYPERLINK("https://sao.dolgi.msk.ru/account/1404184306/", 1404184306)</f>
        <v>1404184306</v>
      </c>
      <c r="F1269">
        <v>-1848.82</v>
      </c>
    </row>
    <row r="1270" spans="1:6" x14ac:dyDescent="0.25">
      <c r="A1270" t="s">
        <v>416</v>
      </c>
      <c r="B1270" t="s">
        <v>98</v>
      </c>
      <c r="C1270" s="5" t="str">
        <f>" кв. "&amp;B1270</f>
        <v xml:space="preserve"> кв. 94</v>
      </c>
      <c r="D1270" s="5" t="str">
        <f>CONCATENATE(A1270,C1270)</f>
        <v>Беломорская ул., дом 10 к.3 кв. 94</v>
      </c>
      <c r="E1270" s="3">
        <f>HYPERLINK("https://sao.dolgi.msk.ru/account/1404185042/", 1404185042)</f>
        <v>1404185042</v>
      </c>
      <c r="F1270">
        <v>1764.95</v>
      </c>
    </row>
    <row r="1271" spans="1:6" hidden="1" x14ac:dyDescent="0.25">
      <c r="A1271" t="s">
        <v>416</v>
      </c>
      <c r="B1271" t="s">
        <v>99</v>
      </c>
      <c r="E1271" s="3">
        <f>HYPERLINK("https://sao.dolgi.msk.ru/account/1404185317/", 1404185317)</f>
        <v>1404185317</v>
      </c>
      <c r="F1271">
        <v>-1460.57</v>
      </c>
    </row>
    <row r="1272" spans="1:6" hidden="1" x14ac:dyDescent="0.25">
      <c r="A1272" t="s">
        <v>416</v>
      </c>
      <c r="B1272" t="s">
        <v>100</v>
      </c>
      <c r="E1272" s="3">
        <f>HYPERLINK("https://sao.dolgi.msk.ru/account/1404184859/", 1404184859)</f>
        <v>1404184859</v>
      </c>
      <c r="F1272">
        <v>0</v>
      </c>
    </row>
    <row r="1273" spans="1:6" hidden="1" x14ac:dyDescent="0.25">
      <c r="A1273" t="s">
        <v>416</v>
      </c>
      <c r="B1273" t="s">
        <v>100</v>
      </c>
      <c r="E1273" s="3">
        <f>HYPERLINK("https://sao.dolgi.msk.ru/account/1404184867/", 1404184867)</f>
        <v>1404184867</v>
      </c>
      <c r="F1273">
        <v>0</v>
      </c>
    </row>
    <row r="1274" spans="1:6" hidden="1" x14ac:dyDescent="0.25">
      <c r="A1274" t="s">
        <v>416</v>
      </c>
      <c r="B1274" t="s">
        <v>101</v>
      </c>
      <c r="E1274" s="3">
        <f>HYPERLINK("https://sao.dolgi.msk.ru/account/1404184875/", 1404184875)</f>
        <v>1404184875</v>
      </c>
      <c r="F1274">
        <v>-3145.16</v>
      </c>
    </row>
    <row r="1275" spans="1:6" x14ac:dyDescent="0.25">
      <c r="A1275" t="s">
        <v>416</v>
      </c>
      <c r="B1275" t="s">
        <v>102</v>
      </c>
      <c r="C1275" s="5" t="str">
        <f>" кв. "&amp;B1275</f>
        <v xml:space="preserve"> кв. 98</v>
      </c>
      <c r="D1275" s="5" t="str">
        <f>CONCATENATE(A1275,C1275)</f>
        <v>Беломорская ул., дом 10 к.3 кв. 98</v>
      </c>
      <c r="E1275" s="3">
        <f>HYPERLINK("https://sao.dolgi.msk.ru/account/1404184314/", 1404184314)</f>
        <v>1404184314</v>
      </c>
      <c r="F1275">
        <v>506.64</v>
      </c>
    </row>
    <row r="1276" spans="1:6" hidden="1" x14ac:dyDescent="0.25">
      <c r="A1276" t="s">
        <v>416</v>
      </c>
      <c r="B1276" t="s">
        <v>103</v>
      </c>
      <c r="E1276" s="3">
        <f>HYPERLINK("https://sao.dolgi.msk.ru/account/1404184883/", 1404184883)</f>
        <v>1404184883</v>
      </c>
      <c r="F1276">
        <v>-1455.95</v>
      </c>
    </row>
    <row r="1277" spans="1:6" x14ac:dyDescent="0.25">
      <c r="A1277" t="s">
        <v>416</v>
      </c>
      <c r="B1277" t="s">
        <v>104</v>
      </c>
      <c r="C1277" s="5" t="str">
        <f>" кв. "&amp;B1277</f>
        <v xml:space="preserve"> кв. 100</v>
      </c>
      <c r="D1277" s="5" t="str">
        <f>CONCATENATE(A1277,C1277)</f>
        <v>Беломорская ул., дом 10 к.3 кв. 100</v>
      </c>
      <c r="E1277" s="3">
        <f>HYPERLINK("https://sao.dolgi.msk.ru/account/1404185245/", 1404185245)</f>
        <v>1404185245</v>
      </c>
      <c r="F1277">
        <v>1056.44</v>
      </c>
    </row>
    <row r="1278" spans="1:6" hidden="1" x14ac:dyDescent="0.25">
      <c r="A1278" t="s">
        <v>416</v>
      </c>
      <c r="B1278" t="s">
        <v>105</v>
      </c>
      <c r="E1278" s="3">
        <f>HYPERLINK("https://sao.dolgi.msk.ru/account/1404185253/", 1404185253)</f>
        <v>1404185253</v>
      </c>
      <c r="F1278">
        <v>0</v>
      </c>
    </row>
    <row r="1279" spans="1:6" hidden="1" x14ac:dyDescent="0.25">
      <c r="A1279" t="s">
        <v>416</v>
      </c>
      <c r="B1279" t="s">
        <v>106</v>
      </c>
      <c r="E1279" s="3">
        <f>HYPERLINK("https://sao.dolgi.msk.ru/account/1404184808/", 1404184808)</f>
        <v>1404184808</v>
      </c>
      <c r="F1279">
        <v>-1740.4</v>
      </c>
    </row>
    <row r="1280" spans="1:6" hidden="1" x14ac:dyDescent="0.25">
      <c r="A1280" t="s">
        <v>416</v>
      </c>
      <c r="B1280" t="s">
        <v>106</v>
      </c>
      <c r="E1280" s="3">
        <f>HYPERLINK("https://sao.dolgi.msk.ru/account/1404185077/", 1404185077)</f>
        <v>1404185077</v>
      </c>
      <c r="F1280">
        <v>-428.61</v>
      </c>
    </row>
    <row r="1281" spans="1:6" hidden="1" x14ac:dyDescent="0.25">
      <c r="A1281" t="s">
        <v>416</v>
      </c>
      <c r="B1281" t="s">
        <v>107</v>
      </c>
      <c r="E1281" s="3">
        <f>HYPERLINK("https://sao.dolgi.msk.ru/account/1404184197/", 1404184197)</f>
        <v>1404184197</v>
      </c>
      <c r="F1281">
        <v>0</v>
      </c>
    </row>
    <row r="1282" spans="1:6" hidden="1" x14ac:dyDescent="0.25">
      <c r="A1282" t="s">
        <v>416</v>
      </c>
      <c r="B1282" t="s">
        <v>108</v>
      </c>
      <c r="E1282" s="3">
        <f>HYPERLINK("https://sao.dolgi.msk.ru/account/1404184218/", 1404184218)</f>
        <v>1404184218</v>
      </c>
      <c r="F1282">
        <v>-1557.63</v>
      </c>
    </row>
    <row r="1283" spans="1:6" hidden="1" x14ac:dyDescent="0.25">
      <c r="A1283" t="s">
        <v>416</v>
      </c>
      <c r="B1283" t="s">
        <v>109</v>
      </c>
      <c r="E1283" s="3">
        <f>HYPERLINK("https://sao.dolgi.msk.ru/account/1404184226/", 1404184226)</f>
        <v>1404184226</v>
      </c>
      <c r="F1283">
        <v>0</v>
      </c>
    </row>
    <row r="1284" spans="1:6" hidden="1" x14ac:dyDescent="0.25">
      <c r="A1284" t="s">
        <v>416</v>
      </c>
      <c r="B1284" t="s">
        <v>110</v>
      </c>
      <c r="E1284" s="3">
        <f>HYPERLINK("https://sao.dolgi.msk.ru/account/1404184656/", 1404184656)</f>
        <v>1404184656</v>
      </c>
      <c r="F1284">
        <v>-1948.21</v>
      </c>
    </row>
    <row r="1285" spans="1:6" x14ac:dyDescent="0.25">
      <c r="A1285" t="s">
        <v>417</v>
      </c>
      <c r="B1285" t="s">
        <v>5</v>
      </c>
      <c r="C1285" s="5" t="str">
        <f t="shared" ref="C1285:C1286" si="52">" кв. "&amp;B1285</f>
        <v xml:space="preserve"> кв. 1</v>
      </c>
      <c r="D1285" s="5" t="str">
        <f>CONCATENATE(A1285,C1285)</f>
        <v>Беломорская ул., дом 11 к.2 кв. 1</v>
      </c>
      <c r="E1285" s="3">
        <f>HYPERLINK("https://sao.dolgi.msk.ru/account/1404223475/", 1404223475)</f>
        <v>1404223475</v>
      </c>
      <c r="F1285">
        <v>975.2</v>
      </c>
    </row>
    <row r="1286" spans="1:6" x14ac:dyDescent="0.25">
      <c r="A1286" t="s">
        <v>417</v>
      </c>
      <c r="B1286" t="s">
        <v>6</v>
      </c>
      <c r="C1286" s="5" t="str">
        <f t="shared" si="52"/>
        <v xml:space="preserve"> кв. 2</v>
      </c>
      <c r="D1286" s="5" t="str">
        <f>CONCATENATE(A1286,C1286)</f>
        <v>Беломорская ул., дом 11 к.2 кв. 2</v>
      </c>
      <c r="E1286" s="3">
        <f>HYPERLINK("https://sao.dolgi.msk.ru/account/1404223678/", 1404223678)</f>
        <v>1404223678</v>
      </c>
      <c r="F1286">
        <v>1020.25</v>
      </c>
    </row>
    <row r="1287" spans="1:6" hidden="1" x14ac:dyDescent="0.25">
      <c r="A1287" t="s">
        <v>417</v>
      </c>
      <c r="B1287" t="s">
        <v>7</v>
      </c>
      <c r="E1287" s="3">
        <f>HYPERLINK("https://sao.dolgi.msk.ru/account/1404223352/", 1404223352)</f>
        <v>1404223352</v>
      </c>
      <c r="F1287">
        <v>-2368.2600000000002</v>
      </c>
    </row>
    <row r="1288" spans="1:6" hidden="1" x14ac:dyDescent="0.25">
      <c r="A1288" t="s">
        <v>417</v>
      </c>
      <c r="B1288" t="s">
        <v>8</v>
      </c>
      <c r="E1288" s="3">
        <f>HYPERLINK("https://sao.dolgi.msk.ru/account/1404223993/", 1404223993)</f>
        <v>1404223993</v>
      </c>
      <c r="F1288">
        <v>0</v>
      </c>
    </row>
    <row r="1289" spans="1:6" hidden="1" x14ac:dyDescent="0.25">
      <c r="A1289" t="s">
        <v>417</v>
      </c>
      <c r="B1289" t="s">
        <v>8</v>
      </c>
      <c r="E1289" s="3">
        <f>HYPERLINK("https://sao.dolgi.msk.ru/account/1404293828/", 1404293828)</f>
        <v>1404293828</v>
      </c>
      <c r="F1289">
        <v>0</v>
      </c>
    </row>
    <row r="1290" spans="1:6" hidden="1" x14ac:dyDescent="0.25">
      <c r="A1290" t="s">
        <v>417</v>
      </c>
      <c r="B1290" t="s">
        <v>9</v>
      </c>
      <c r="E1290" s="3">
        <f>HYPERLINK("https://sao.dolgi.msk.ru/account/1404223715/", 1404223715)</f>
        <v>1404223715</v>
      </c>
      <c r="F1290">
        <v>-593.16</v>
      </c>
    </row>
    <row r="1291" spans="1:6" hidden="1" x14ac:dyDescent="0.25">
      <c r="A1291" t="s">
        <v>417</v>
      </c>
      <c r="B1291" t="s">
        <v>9</v>
      </c>
      <c r="E1291" s="3">
        <f>HYPERLINK("https://sao.dolgi.msk.ru/account/1404224259/", 1404224259)</f>
        <v>1404224259</v>
      </c>
      <c r="F1291">
        <v>-1186.3399999999999</v>
      </c>
    </row>
    <row r="1292" spans="1:6" hidden="1" x14ac:dyDescent="0.25">
      <c r="A1292" t="s">
        <v>417</v>
      </c>
      <c r="B1292" t="s">
        <v>10</v>
      </c>
      <c r="E1292" s="3">
        <f>HYPERLINK("https://sao.dolgi.msk.ru/account/1404224187/", 1404224187)</f>
        <v>1404224187</v>
      </c>
      <c r="F1292">
        <v>-889.74</v>
      </c>
    </row>
    <row r="1293" spans="1:6" hidden="1" x14ac:dyDescent="0.25">
      <c r="A1293" t="s">
        <v>417</v>
      </c>
      <c r="B1293" t="s">
        <v>11</v>
      </c>
      <c r="E1293" s="3">
        <f>HYPERLINK("https://sao.dolgi.msk.ru/account/1404223416/", 1404223416)</f>
        <v>1404223416</v>
      </c>
      <c r="F1293">
        <v>-782.06</v>
      </c>
    </row>
    <row r="1294" spans="1:6" hidden="1" x14ac:dyDescent="0.25">
      <c r="A1294" t="s">
        <v>417</v>
      </c>
      <c r="B1294" t="s">
        <v>12</v>
      </c>
      <c r="E1294" s="3">
        <f>HYPERLINK("https://sao.dolgi.msk.ru/account/1404223264/", 1404223264)</f>
        <v>1404223264</v>
      </c>
      <c r="F1294">
        <v>-2463.56</v>
      </c>
    </row>
    <row r="1295" spans="1:6" hidden="1" x14ac:dyDescent="0.25">
      <c r="A1295" t="s">
        <v>417</v>
      </c>
      <c r="B1295" t="s">
        <v>13</v>
      </c>
      <c r="E1295" s="3">
        <f>HYPERLINK("https://sao.dolgi.msk.ru/account/1404224486/", 1404224486)</f>
        <v>1404224486</v>
      </c>
      <c r="F1295">
        <v>-1774.87</v>
      </c>
    </row>
    <row r="1296" spans="1:6" hidden="1" x14ac:dyDescent="0.25">
      <c r="A1296" t="s">
        <v>417</v>
      </c>
      <c r="B1296" t="s">
        <v>14</v>
      </c>
      <c r="E1296" s="3">
        <f>HYPERLINK("https://sao.dolgi.msk.ru/account/1404224099/", 1404224099)</f>
        <v>1404224099</v>
      </c>
      <c r="F1296">
        <v>-1534.13</v>
      </c>
    </row>
    <row r="1297" spans="1:6" x14ac:dyDescent="0.25">
      <c r="A1297" t="s">
        <v>417</v>
      </c>
      <c r="B1297" t="s">
        <v>15</v>
      </c>
      <c r="C1297" s="5" t="str">
        <f>" кв. "&amp;B1297</f>
        <v xml:space="preserve"> кв. 11</v>
      </c>
      <c r="D1297" s="5" t="str">
        <f>CONCATENATE(A1297,C1297)</f>
        <v>Беломорская ул., дом 11 к.2 кв. 11</v>
      </c>
      <c r="E1297" s="3">
        <f>HYPERLINK("https://sao.dolgi.msk.ru/account/1404223117/", 1404223117)</f>
        <v>1404223117</v>
      </c>
      <c r="F1297">
        <v>1176.6300000000001</v>
      </c>
    </row>
    <row r="1298" spans="1:6" hidden="1" x14ac:dyDescent="0.25">
      <c r="A1298" t="s">
        <v>417</v>
      </c>
      <c r="B1298" t="s">
        <v>16</v>
      </c>
      <c r="E1298" s="3">
        <f>HYPERLINK("https://sao.dolgi.msk.ru/account/1404223176/", 1404223176)</f>
        <v>1404223176</v>
      </c>
      <c r="F1298">
        <v>0</v>
      </c>
    </row>
    <row r="1299" spans="1:6" hidden="1" x14ac:dyDescent="0.25">
      <c r="A1299" t="s">
        <v>417</v>
      </c>
      <c r="B1299" t="s">
        <v>17</v>
      </c>
      <c r="E1299" s="3">
        <f>HYPERLINK("https://sao.dolgi.msk.ru/account/1404223096/", 1404223096)</f>
        <v>1404223096</v>
      </c>
      <c r="F1299">
        <v>-1774.87</v>
      </c>
    </row>
    <row r="1300" spans="1:6" hidden="1" x14ac:dyDescent="0.25">
      <c r="A1300" t="s">
        <v>417</v>
      </c>
      <c r="B1300" t="s">
        <v>18</v>
      </c>
      <c r="E1300" s="3">
        <f>HYPERLINK("https://sao.dolgi.msk.ru/account/1404223467/", 1404223467)</f>
        <v>1404223467</v>
      </c>
      <c r="F1300">
        <v>-1770.25</v>
      </c>
    </row>
    <row r="1301" spans="1:6" x14ac:dyDescent="0.25">
      <c r="A1301" t="s">
        <v>417</v>
      </c>
      <c r="B1301" t="s">
        <v>19</v>
      </c>
      <c r="C1301" s="5" t="str">
        <f t="shared" ref="C1301:C1303" si="53">" кв. "&amp;B1301</f>
        <v xml:space="preserve"> кв. 15</v>
      </c>
      <c r="D1301" s="5" t="str">
        <f>CONCATENATE(A1301,C1301)</f>
        <v>Беломорская ул., дом 11 к.2 кв. 15</v>
      </c>
      <c r="E1301" s="3">
        <f>HYPERLINK("https://sao.dolgi.msk.ru/account/1404224558/", 1404224558)</f>
        <v>1404224558</v>
      </c>
      <c r="F1301">
        <v>1695.37</v>
      </c>
    </row>
    <row r="1302" spans="1:6" x14ac:dyDescent="0.25">
      <c r="A1302" t="s">
        <v>417</v>
      </c>
      <c r="B1302" t="s">
        <v>20</v>
      </c>
      <c r="C1302" s="5" t="str">
        <f t="shared" si="53"/>
        <v xml:space="preserve"> кв. 16</v>
      </c>
      <c r="D1302" s="5" t="str">
        <f>CONCATENATE(A1302,C1302)</f>
        <v>Беломорская ул., дом 11 к.2 кв. 16</v>
      </c>
      <c r="E1302" s="3">
        <f>HYPERLINK("https://sao.dolgi.msk.ru/account/1404224283/", 1404224283)</f>
        <v>1404224283</v>
      </c>
      <c r="F1302">
        <v>1689.04</v>
      </c>
    </row>
    <row r="1303" spans="1:6" x14ac:dyDescent="0.25">
      <c r="A1303" t="s">
        <v>417</v>
      </c>
      <c r="B1303" t="s">
        <v>21</v>
      </c>
      <c r="C1303" s="5" t="str">
        <f t="shared" si="53"/>
        <v xml:space="preserve"> кв. 17</v>
      </c>
      <c r="D1303" s="5" t="str">
        <f>CONCATENATE(A1303,C1303)</f>
        <v>Беломорская ул., дом 11 к.2 кв. 17</v>
      </c>
      <c r="E1303" s="3">
        <f>HYPERLINK("https://sao.dolgi.msk.ru/account/1404223328/", 1404223328)</f>
        <v>1404223328</v>
      </c>
      <c r="F1303">
        <v>1211.43</v>
      </c>
    </row>
    <row r="1304" spans="1:6" hidden="1" x14ac:dyDescent="0.25">
      <c r="A1304" t="s">
        <v>417</v>
      </c>
      <c r="B1304" t="s">
        <v>22</v>
      </c>
      <c r="E1304" s="3">
        <f>HYPERLINK("https://sao.dolgi.msk.ru/account/1404223942/", 1404223942)</f>
        <v>1404223942</v>
      </c>
      <c r="F1304">
        <v>0</v>
      </c>
    </row>
    <row r="1305" spans="1:6" hidden="1" x14ac:dyDescent="0.25">
      <c r="A1305" t="s">
        <v>417</v>
      </c>
      <c r="B1305" t="s">
        <v>22</v>
      </c>
      <c r="E1305" s="3">
        <f>HYPERLINK("https://sao.dolgi.msk.ru/account/1404224021/", 1404224021)</f>
        <v>1404224021</v>
      </c>
      <c r="F1305">
        <v>0</v>
      </c>
    </row>
    <row r="1306" spans="1:6" hidden="1" x14ac:dyDescent="0.25">
      <c r="A1306" t="s">
        <v>417</v>
      </c>
      <c r="B1306" t="s">
        <v>23</v>
      </c>
      <c r="E1306" s="3">
        <f>HYPERLINK("https://sao.dolgi.msk.ru/account/1404223969/", 1404223969)</f>
        <v>1404223969</v>
      </c>
      <c r="F1306">
        <v>-2472.81</v>
      </c>
    </row>
    <row r="1307" spans="1:6" hidden="1" x14ac:dyDescent="0.25">
      <c r="A1307" t="s">
        <v>417</v>
      </c>
      <c r="B1307" t="s">
        <v>24</v>
      </c>
      <c r="E1307" s="3">
        <f>HYPERLINK("https://sao.dolgi.msk.ru/account/1404223977/", 1404223977)</f>
        <v>1404223977</v>
      </c>
      <c r="F1307">
        <v>0</v>
      </c>
    </row>
    <row r="1308" spans="1:6" x14ac:dyDescent="0.25">
      <c r="A1308" t="s">
        <v>417</v>
      </c>
      <c r="B1308" t="s">
        <v>25</v>
      </c>
      <c r="C1308" s="5" t="str">
        <f>" кв. "&amp;B1308</f>
        <v xml:space="preserve"> кв. 21</v>
      </c>
      <c r="D1308" s="5" t="str">
        <f>CONCATENATE(A1308,C1308)</f>
        <v>Беломорская ул., дом 11 к.2 кв. 21</v>
      </c>
      <c r="E1308" s="3">
        <f>HYPERLINK("https://sao.dolgi.msk.ru/account/1404222958/", 1404222958)</f>
        <v>1404222958</v>
      </c>
      <c r="F1308">
        <v>1220.92</v>
      </c>
    </row>
    <row r="1309" spans="1:6" hidden="1" x14ac:dyDescent="0.25">
      <c r="A1309" t="s">
        <v>417</v>
      </c>
      <c r="B1309" t="s">
        <v>26</v>
      </c>
      <c r="E1309" s="3">
        <f>HYPERLINK("https://sao.dolgi.msk.ru/account/1404224419/", 1404224419)</f>
        <v>1404224419</v>
      </c>
      <c r="F1309">
        <v>-1012.23</v>
      </c>
    </row>
    <row r="1310" spans="1:6" hidden="1" x14ac:dyDescent="0.25">
      <c r="A1310" t="s">
        <v>417</v>
      </c>
      <c r="B1310" t="s">
        <v>27</v>
      </c>
      <c r="E1310" s="3">
        <f>HYPERLINK("https://sao.dolgi.msk.ru/account/1404223766/", 1404223766)</f>
        <v>1404223766</v>
      </c>
      <c r="F1310">
        <v>-779.14</v>
      </c>
    </row>
    <row r="1311" spans="1:6" x14ac:dyDescent="0.25">
      <c r="A1311" t="s">
        <v>417</v>
      </c>
      <c r="B1311" t="s">
        <v>28</v>
      </c>
      <c r="C1311" s="5" t="str">
        <f t="shared" ref="C1311:C1312" si="54">" кв. "&amp;B1311</f>
        <v xml:space="preserve"> кв. 24</v>
      </c>
      <c r="D1311" s="5" t="str">
        <f>CONCATENATE(A1311,C1311)</f>
        <v>Беломорская ул., дом 11 к.2 кв. 24</v>
      </c>
      <c r="E1311" s="3">
        <f>HYPERLINK("https://sao.dolgi.msk.ru/account/1404224427/", 1404224427)</f>
        <v>1404224427</v>
      </c>
      <c r="F1311">
        <v>1163.98</v>
      </c>
    </row>
    <row r="1312" spans="1:6" x14ac:dyDescent="0.25">
      <c r="A1312" t="s">
        <v>417</v>
      </c>
      <c r="B1312" t="s">
        <v>29</v>
      </c>
      <c r="C1312" s="5" t="str">
        <f t="shared" si="54"/>
        <v xml:space="preserve"> кв. 25</v>
      </c>
      <c r="D1312" s="5" t="str">
        <f>CONCATENATE(A1312,C1312)</f>
        <v>Беломорская ул., дом 11 к.2 кв. 25</v>
      </c>
      <c r="E1312" s="3">
        <f>HYPERLINK("https://sao.dolgi.msk.ru/account/1404224208/", 1404224208)</f>
        <v>1404224208</v>
      </c>
      <c r="F1312">
        <v>1217.76</v>
      </c>
    </row>
    <row r="1313" spans="1:6" hidden="1" x14ac:dyDescent="0.25">
      <c r="A1313" t="s">
        <v>417</v>
      </c>
      <c r="B1313" t="s">
        <v>30</v>
      </c>
      <c r="E1313" s="3">
        <f>HYPERLINK("https://sao.dolgi.msk.ru/account/1404223336/", 1404223336)</f>
        <v>1404223336</v>
      </c>
      <c r="F1313">
        <v>-1774.87</v>
      </c>
    </row>
    <row r="1314" spans="1:6" hidden="1" x14ac:dyDescent="0.25">
      <c r="A1314" t="s">
        <v>417</v>
      </c>
      <c r="B1314" t="s">
        <v>31</v>
      </c>
      <c r="E1314" s="3">
        <f>HYPERLINK("https://sao.dolgi.msk.ru/account/1404223424/", 1404223424)</f>
        <v>1404223424</v>
      </c>
      <c r="F1314">
        <v>-2472.81</v>
      </c>
    </row>
    <row r="1315" spans="1:6" hidden="1" x14ac:dyDescent="0.25">
      <c r="A1315" t="s">
        <v>417</v>
      </c>
      <c r="B1315" t="s">
        <v>32</v>
      </c>
      <c r="E1315" s="3">
        <f>HYPERLINK("https://sao.dolgi.msk.ru/account/1404224435/", 1404224435)</f>
        <v>1404224435</v>
      </c>
      <c r="F1315">
        <v>0</v>
      </c>
    </row>
    <row r="1316" spans="1:6" x14ac:dyDescent="0.25">
      <c r="A1316" t="s">
        <v>417</v>
      </c>
      <c r="B1316" t="s">
        <v>33</v>
      </c>
      <c r="C1316" s="5" t="str">
        <f>" кв. "&amp;B1316</f>
        <v xml:space="preserve"> кв. 29</v>
      </c>
      <c r="D1316" s="5" t="str">
        <f>CONCATENATE(A1316,C1316)</f>
        <v>Беломорская ул., дом 11 к.2 кв. 29</v>
      </c>
      <c r="E1316" s="3">
        <f>HYPERLINK("https://sao.dolgi.msk.ru/account/1404223344/", 1404223344)</f>
        <v>1404223344</v>
      </c>
      <c r="F1316">
        <v>1211.43</v>
      </c>
    </row>
    <row r="1317" spans="1:6" hidden="1" x14ac:dyDescent="0.25">
      <c r="A1317" t="s">
        <v>417</v>
      </c>
      <c r="B1317" t="s">
        <v>34</v>
      </c>
      <c r="E1317" s="3">
        <f>HYPERLINK("https://sao.dolgi.msk.ru/account/1404223168/", 1404223168)</f>
        <v>1404223168</v>
      </c>
      <c r="F1317">
        <v>0</v>
      </c>
    </row>
    <row r="1318" spans="1:6" x14ac:dyDescent="0.25">
      <c r="A1318" t="s">
        <v>417</v>
      </c>
      <c r="B1318" t="s">
        <v>35</v>
      </c>
      <c r="C1318" s="5" t="str">
        <f>" кв. "&amp;B1318</f>
        <v xml:space="preserve"> кв. 31</v>
      </c>
      <c r="D1318" s="5" t="str">
        <f>CONCATENATE(A1318,C1318)</f>
        <v>Беломорская ул., дом 11 к.2 кв. 31</v>
      </c>
      <c r="E1318" s="3">
        <f>HYPERLINK("https://sao.dolgi.msk.ru/account/1404223774/", 1404223774)</f>
        <v>1404223774</v>
      </c>
      <c r="F1318">
        <v>844.52</v>
      </c>
    </row>
    <row r="1319" spans="1:6" hidden="1" x14ac:dyDescent="0.25">
      <c r="A1319" t="s">
        <v>417</v>
      </c>
      <c r="B1319" t="s">
        <v>36</v>
      </c>
      <c r="E1319" s="3">
        <f>HYPERLINK("https://sao.dolgi.msk.ru/account/1404223547/", 1404223547)</f>
        <v>1404223547</v>
      </c>
      <c r="F1319">
        <v>-2458.94</v>
      </c>
    </row>
    <row r="1320" spans="1:6" hidden="1" x14ac:dyDescent="0.25">
      <c r="A1320" t="s">
        <v>417</v>
      </c>
      <c r="B1320" t="s">
        <v>37</v>
      </c>
      <c r="E1320" s="3">
        <f>HYPERLINK("https://sao.dolgi.msk.ru/account/1404222982/", 1404222982)</f>
        <v>1404222982</v>
      </c>
      <c r="F1320">
        <v>-1774.87</v>
      </c>
    </row>
    <row r="1321" spans="1:6" hidden="1" x14ac:dyDescent="0.25">
      <c r="A1321" t="s">
        <v>417</v>
      </c>
      <c r="B1321" t="s">
        <v>38</v>
      </c>
      <c r="E1321" s="3">
        <f>HYPERLINK("https://sao.dolgi.msk.ru/account/1404223985/", 1404223985)</f>
        <v>1404223985</v>
      </c>
      <c r="F1321">
        <v>-1534.13</v>
      </c>
    </row>
    <row r="1322" spans="1:6" x14ac:dyDescent="0.25">
      <c r="A1322" t="s">
        <v>417</v>
      </c>
      <c r="B1322" t="s">
        <v>39</v>
      </c>
      <c r="C1322" s="5" t="str">
        <f>" кв. "&amp;B1322</f>
        <v xml:space="preserve"> кв. 35</v>
      </c>
      <c r="D1322" s="5" t="str">
        <f>CONCATENATE(A1322,C1322)</f>
        <v>Беломорская ул., дом 11 к.2 кв. 35</v>
      </c>
      <c r="E1322" s="3">
        <f>HYPERLINK("https://sao.dolgi.msk.ru/account/1404222966/", 1404222966)</f>
        <v>1404222966</v>
      </c>
      <c r="F1322">
        <v>1163.98</v>
      </c>
    </row>
    <row r="1323" spans="1:6" hidden="1" x14ac:dyDescent="0.25">
      <c r="A1323" t="s">
        <v>417</v>
      </c>
      <c r="B1323" t="s">
        <v>40</v>
      </c>
      <c r="E1323" s="3">
        <f>HYPERLINK("https://sao.dolgi.msk.ru/account/1404223379/", 1404223379)</f>
        <v>1404223379</v>
      </c>
      <c r="F1323">
        <v>-1710.17</v>
      </c>
    </row>
    <row r="1324" spans="1:6" x14ac:dyDescent="0.25">
      <c r="A1324" t="s">
        <v>417</v>
      </c>
      <c r="B1324" t="s">
        <v>41</v>
      </c>
      <c r="C1324" s="5" t="str">
        <f t="shared" ref="C1324:C1326" si="55">" кв. "&amp;B1324</f>
        <v xml:space="preserve"> кв. 37</v>
      </c>
      <c r="D1324" s="5" t="str">
        <f>CONCATENATE(A1324,C1324)</f>
        <v>Беломорская ул., дом 11 к.2 кв. 37</v>
      </c>
      <c r="E1324" s="3">
        <f>HYPERLINK("https://sao.dolgi.msk.ru/account/1404223555/", 1404223555)</f>
        <v>1404223555</v>
      </c>
      <c r="F1324">
        <v>692.69</v>
      </c>
    </row>
    <row r="1325" spans="1:6" x14ac:dyDescent="0.25">
      <c r="A1325" t="s">
        <v>417</v>
      </c>
      <c r="B1325" t="s">
        <v>42</v>
      </c>
      <c r="C1325" s="5" t="str">
        <f t="shared" si="55"/>
        <v xml:space="preserve"> кв. 38</v>
      </c>
      <c r="D1325" s="5" t="str">
        <f>CONCATENATE(A1325,C1325)</f>
        <v>Беломорская ул., дом 11 к.2 кв. 38</v>
      </c>
      <c r="E1325" s="3">
        <f>HYPERLINK("https://sao.dolgi.msk.ru/account/1404222974/", 1404222974)</f>
        <v>1404222974</v>
      </c>
      <c r="F1325">
        <v>1214.5899999999999</v>
      </c>
    </row>
    <row r="1326" spans="1:6" x14ac:dyDescent="0.25">
      <c r="A1326" t="s">
        <v>417</v>
      </c>
      <c r="B1326" t="s">
        <v>43</v>
      </c>
      <c r="C1326" s="5" t="str">
        <f t="shared" si="55"/>
        <v xml:space="preserve"> кв. 39</v>
      </c>
      <c r="D1326" s="5" t="str">
        <f>CONCATENATE(A1326,C1326)</f>
        <v>Беломорская ул., дом 11 к.2 кв. 39</v>
      </c>
      <c r="E1326" s="3">
        <f>HYPERLINK("https://sao.dolgi.msk.ru/account/1404223387/", 1404223387)</f>
        <v>1404223387</v>
      </c>
      <c r="F1326">
        <v>1170.31</v>
      </c>
    </row>
    <row r="1327" spans="1:6" hidden="1" x14ac:dyDescent="0.25">
      <c r="A1327" t="s">
        <v>417</v>
      </c>
      <c r="B1327" t="s">
        <v>44</v>
      </c>
      <c r="E1327" s="3">
        <f>HYPERLINK("https://sao.dolgi.msk.ru/account/1404222907/", 1404222907)</f>
        <v>1404222907</v>
      </c>
      <c r="F1327">
        <v>-824.27</v>
      </c>
    </row>
    <row r="1328" spans="1:6" hidden="1" x14ac:dyDescent="0.25">
      <c r="A1328" t="s">
        <v>417</v>
      </c>
      <c r="B1328" t="s">
        <v>44</v>
      </c>
      <c r="E1328" s="3">
        <f>HYPERLINK("https://sao.dolgi.msk.ru/account/1404223686/", 1404223686)</f>
        <v>1404223686</v>
      </c>
      <c r="F1328">
        <v>-1648.54</v>
      </c>
    </row>
    <row r="1329" spans="1:6" hidden="1" x14ac:dyDescent="0.25">
      <c r="A1329" t="s">
        <v>417</v>
      </c>
      <c r="B1329" t="s">
        <v>45</v>
      </c>
      <c r="E1329" s="3">
        <f>HYPERLINK("https://sao.dolgi.msk.ru/account/1404223539/", 1404223539)</f>
        <v>1404223539</v>
      </c>
      <c r="F1329">
        <v>-1779.5</v>
      </c>
    </row>
    <row r="1330" spans="1:6" hidden="1" x14ac:dyDescent="0.25">
      <c r="A1330" t="s">
        <v>417</v>
      </c>
      <c r="B1330" t="s">
        <v>46</v>
      </c>
      <c r="E1330" s="3">
        <f>HYPERLINK("https://sao.dolgi.msk.ru/account/1404224136/", 1404224136)</f>
        <v>1404224136</v>
      </c>
      <c r="F1330">
        <v>-1774.87</v>
      </c>
    </row>
    <row r="1331" spans="1:6" hidden="1" x14ac:dyDescent="0.25">
      <c r="A1331" t="s">
        <v>417</v>
      </c>
      <c r="B1331" t="s">
        <v>47</v>
      </c>
      <c r="E1331" s="3">
        <f>HYPERLINK("https://sao.dolgi.msk.ru/account/1404224144/", 1404224144)</f>
        <v>1404224144</v>
      </c>
      <c r="F1331">
        <v>-2472.81</v>
      </c>
    </row>
    <row r="1332" spans="1:6" x14ac:dyDescent="0.25">
      <c r="A1332" t="s">
        <v>417</v>
      </c>
      <c r="B1332" t="s">
        <v>48</v>
      </c>
      <c r="C1332" s="5" t="str">
        <f>" кв. "&amp;B1332</f>
        <v xml:space="preserve"> кв. 44</v>
      </c>
      <c r="D1332" s="5" t="str">
        <f>CONCATENATE(A1332,C1332)</f>
        <v>Беломорская ул., дом 11 к.2 кв. 44</v>
      </c>
      <c r="E1332" s="3">
        <f>HYPERLINK("https://sao.dolgi.msk.ru/account/1404224152/", 1404224152)</f>
        <v>1404224152</v>
      </c>
      <c r="F1332">
        <v>1685.88</v>
      </c>
    </row>
    <row r="1333" spans="1:6" hidden="1" x14ac:dyDescent="0.25">
      <c r="A1333" t="s">
        <v>417</v>
      </c>
      <c r="B1333" t="s">
        <v>49</v>
      </c>
      <c r="E1333" s="3">
        <f>HYPERLINK("https://sao.dolgi.msk.ru/account/1404223272/", 1404223272)</f>
        <v>1404223272</v>
      </c>
      <c r="F1333">
        <v>-1784.12</v>
      </c>
    </row>
    <row r="1334" spans="1:6" hidden="1" x14ac:dyDescent="0.25">
      <c r="A1334" t="s">
        <v>417</v>
      </c>
      <c r="B1334" t="s">
        <v>50</v>
      </c>
      <c r="E1334" s="3">
        <f>HYPERLINK("https://sao.dolgi.msk.ru/account/1404223125/", 1404223125)</f>
        <v>1404223125</v>
      </c>
      <c r="F1334">
        <v>0</v>
      </c>
    </row>
    <row r="1335" spans="1:6" x14ac:dyDescent="0.25">
      <c r="A1335" t="s">
        <v>417</v>
      </c>
      <c r="B1335" t="s">
        <v>51</v>
      </c>
      <c r="C1335" s="5" t="str">
        <f>" кв. "&amp;B1335</f>
        <v xml:space="preserve"> кв. 47</v>
      </c>
      <c r="D1335" s="5" t="str">
        <f>CONCATENATE(A1335,C1335)</f>
        <v>Беломорская ул., дом 11 к.2 кв. 47</v>
      </c>
      <c r="E1335" s="3">
        <f>HYPERLINK("https://sao.dolgi.msk.ru/account/1404223918/", 1404223918)</f>
        <v>1404223918</v>
      </c>
      <c r="F1335">
        <v>1689.04</v>
      </c>
    </row>
    <row r="1336" spans="1:6" hidden="1" x14ac:dyDescent="0.25">
      <c r="A1336" t="s">
        <v>417</v>
      </c>
      <c r="B1336" t="s">
        <v>52</v>
      </c>
      <c r="E1336" s="3">
        <f>HYPERLINK("https://sao.dolgi.msk.ru/account/1404223694/", 1404223694)</f>
        <v>1404223694</v>
      </c>
      <c r="F1336">
        <v>-2463.56</v>
      </c>
    </row>
    <row r="1337" spans="1:6" hidden="1" x14ac:dyDescent="0.25">
      <c r="A1337" t="s">
        <v>417</v>
      </c>
      <c r="B1337" t="s">
        <v>53</v>
      </c>
      <c r="E1337" s="3">
        <f>HYPERLINK("https://sao.dolgi.msk.ru/account/1404223707/", 1404223707)</f>
        <v>1404223707</v>
      </c>
      <c r="F1337">
        <v>0</v>
      </c>
    </row>
    <row r="1338" spans="1:6" x14ac:dyDescent="0.25">
      <c r="A1338" t="s">
        <v>417</v>
      </c>
      <c r="B1338" t="s">
        <v>54</v>
      </c>
      <c r="C1338" s="5" t="str">
        <f>" кв. "&amp;B1338</f>
        <v xml:space="preserve"> кв. 50</v>
      </c>
      <c r="D1338" s="5" t="str">
        <f>CONCATENATE(A1338,C1338)</f>
        <v>Беломорская ул., дом 11 к.2 кв. 50</v>
      </c>
      <c r="E1338" s="3">
        <f>HYPERLINK("https://sao.dolgi.msk.ru/account/1404224179/", 1404224179)</f>
        <v>1404224179</v>
      </c>
      <c r="F1338">
        <v>1208.27</v>
      </c>
    </row>
    <row r="1339" spans="1:6" hidden="1" x14ac:dyDescent="0.25">
      <c r="A1339" t="s">
        <v>417</v>
      </c>
      <c r="B1339" t="s">
        <v>55</v>
      </c>
      <c r="E1339" s="3">
        <f>HYPERLINK("https://sao.dolgi.msk.ru/account/1404224363/", 1404224363)</f>
        <v>1404224363</v>
      </c>
      <c r="F1339">
        <v>-2482.0500000000002</v>
      </c>
    </row>
    <row r="1340" spans="1:6" x14ac:dyDescent="0.25">
      <c r="A1340" t="s">
        <v>417</v>
      </c>
      <c r="B1340" t="s">
        <v>56</v>
      </c>
      <c r="C1340" s="5" t="str">
        <f t="shared" ref="C1340:C1341" si="56">" кв. "&amp;B1340</f>
        <v xml:space="preserve"> кв. 52</v>
      </c>
      <c r="D1340" s="5" t="str">
        <f>CONCATENATE(A1340,C1340)</f>
        <v>Беломорская ул., дом 11 к.2 кв. 52</v>
      </c>
      <c r="E1340" s="3">
        <f>HYPERLINK("https://sao.dolgi.msk.ru/account/1404223723/", 1404223723)</f>
        <v>1404223723</v>
      </c>
      <c r="F1340">
        <v>1689.04</v>
      </c>
    </row>
    <row r="1341" spans="1:6" x14ac:dyDescent="0.25">
      <c r="A1341" t="s">
        <v>417</v>
      </c>
      <c r="B1341" t="s">
        <v>57</v>
      </c>
      <c r="C1341" s="5" t="str">
        <f t="shared" si="56"/>
        <v xml:space="preserve"> кв. 53</v>
      </c>
      <c r="D1341" s="5" t="str">
        <f>CONCATENATE(A1341,C1341)</f>
        <v>Беломорская ул., дом 11 к.2 кв. 53</v>
      </c>
      <c r="E1341" s="3">
        <f>HYPERLINK("https://sao.dolgi.msk.ru/account/1404222915/", 1404222915)</f>
        <v>1404222915</v>
      </c>
      <c r="F1341">
        <v>1211.43</v>
      </c>
    </row>
    <row r="1342" spans="1:6" hidden="1" x14ac:dyDescent="0.25">
      <c r="A1342" t="s">
        <v>417</v>
      </c>
      <c r="B1342" t="s">
        <v>58</v>
      </c>
      <c r="E1342" s="3">
        <f>HYPERLINK("https://sao.dolgi.msk.ru/account/1404222923/", 1404222923)</f>
        <v>1404222923</v>
      </c>
      <c r="F1342">
        <v>0</v>
      </c>
    </row>
    <row r="1343" spans="1:6" hidden="1" x14ac:dyDescent="0.25">
      <c r="A1343" t="s">
        <v>417</v>
      </c>
      <c r="B1343" t="s">
        <v>59</v>
      </c>
      <c r="E1343" s="3">
        <f>HYPERLINK("https://sao.dolgi.msk.ru/account/1404223926/", 1404223926)</f>
        <v>1404223926</v>
      </c>
      <c r="F1343">
        <v>-2477.4299999999998</v>
      </c>
    </row>
    <row r="1344" spans="1:6" hidden="1" x14ac:dyDescent="0.25">
      <c r="A1344" t="s">
        <v>417</v>
      </c>
      <c r="B1344" t="s">
        <v>60</v>
      </c>
      <c r="E1344" s="3">
        <f>HYPERLINK("https://sao.dolgi.msk.ru/account/1404223731/", 1404223731)</f>
        <v>1404223731</v>
      </c>
      <c r="F1344">
        <v>0</v>
      </c>
    </row>
    <row r="1345" spans="1:6" x14ac:dyDescent="0.25">
      <c r="A1345" t="s">
        <v>417</v>
      </c>
      <c r="B1345" t="s">
        <v>61</v>
      </c>
      <c r="C1345" s="5" t="str">
        <f t="shared" ref="C1345:C1346" si="57">" кв. "&amp;B1345</f>
        <v xml:space="preserve"> кв. 57</v>
      </c>
      <c r="D1345" s="5" t="str">
        <f>CONCATENATE(A1345,C1345)</f>
        <v>Беломорская ул., дом 11 к.2 кв. 57</v>
      </c>
      <c r="E1345" s="3">
        <f>HYPERLINK("https://sao.dolgi.msk.ru/account/1404223299/", 1404223299)</f>
        <v>1404223299</v>
      </c>
      <c r="F1345">
        <v>1214.5899999999999</v>
      </c>
    </row>
    <row r="1346" spans="1:6" x14ac:dyDescent="0.25">
      <c r="A1346" t="s">
        <v>417</v>
      </c>
      <c r="B1346" t="s">
        <v>62</v>
      </c>
      <c r="C1346" s="5" t="str">
        <f t="shared" si="57"/>
        <v xml:space="preserve"> кв. 58</v>
      </c>
      <c r="D1346" s="5" t="str">
        <f>CONCATENATE(A1346,C1346)</f>
        <v>Беломорская ул., дом 11 к.2 кв. 58</v>
      </c>
      <c r="E1346" s="3">
        <f>HYPERLINK("https://sao.dolgi.msk.ru/account/1404222931/", 1404222931)</f>
        <v>1404222931</v>
      </c>
      <c r="F1346">
        <v>1211.43</v>
      </c>
    </row>
    <row r="1347" spans="1:6" hidden="1" x14ac:dyDescent="0.25">
      <c r="A1347" t="s">
        <v>417</v>
      </c>
      <c r="B1347" t="s">
        <v>63</v>
      </c>
      <c r="E1347" s="3">
        <f>HYPERLINK("https://sao.dolgi.msk.ru/account/1404224371/", 1404224371)</f>
        <v>1404224371</v>
      </c>
      <c r="F1347">
        <v>-1229.46</v>
      </c>
    </row>
    <row r="1348" spans="1:6" x14ac:dyDescent="0.25">
      <c r="A1348" t="s">
        <v>417</v>
      </c>
      <c r="B1348" t="s">
        <v>64</v>
      </c>
      <c r="C1348" s="5" t="str">
        <f>" кв. "&amp;B1348</f>
        <v xml:space="preserve"> кв. 60</v>
      </c>
      <c r="D1348" s="5" t="str">
        <f>CONCATENATE(A1348,C1348)</f>
        <v>Беломорская ул., дом 11 к.2 кв. 60</v>
      </c>
      <c r="E1348" s="3">
        <f>HYPERLINK("https://sao.dolgi.msk.ru/account/1404223395/", 1404223395)</f>
        <v>1404223395</v>
      </c>
      <c r="F1348">
        <v>1689.04</v>
      </c>
    </row>
    <row r="1349" spans="1:6" hidden="1" x14ac:dyDescent="0.25">
      <c r="A1349" t="s">
        <v>417</v>
      </c>
      <c r="B1349" t="s">
        <v>65</v>
      </c>
      <c r="E1349" s="3">
        <f>HYPERLINK("https://sao.dolgi.msk.ru/account/1404224224/", 1404224224)</f>
        <v>1404224224</v>
      </c>
      <c r="F1349">
        <v>-1774.87</v>
      </c>
    </row>
    <row r="1350" spans="1:6" hidden="1" x14ac:dyDescent="0.25">
      <c r="A1350" t="s">
        <v>417</v>
      </c>
      <c r="B1350" t="s">
        <v>66</v>
      </c>
      <c r="E1350" s="3">
        <f>HYPERLINK("https://sao.dolgi.msk.ru/account/1404223408/", 1404223408)</f>
        <v>1404223408</v>
      </c>
      <c r="F1350">
        <v>-1765.63</v>
      </c>
    </row>
    <row r="1351" spans="1:6" hidden="1" x14ac:dyDescent="0.25">
      <c r="A1351" t="s">
        <v>417</v>
      </c>
      <c r="B1351" t="s">
        <v>67</v>
      </c>
      <c r="E1351" s="3">
        <f>HYPERLINK("https://sao.dolgi.msk.ru/account/1404223002/", 1404223002)</f>
        <v>1404223002</v>
      </c>
      <c r="F1351">
        <v>-2458.94</v>
      </c>
    </row>
    <row r="1352" spans="1:6" hidden="1" x14ac:dyDescent="0.25">
      <c r="A1352" t="s">
        <v>417</v>
      </c>
      <c r="B1352" t="s">
        <v>68</v>
      </c>
      <c r="E1352" s="3">
        <f>HYPERLINK("https://sao.dolgi.msk.ru/account/1404223782/", 1404223782)</f>
        <v>1404223782</v>
      </c>
      <c r="F1352">
        <v>-439.72</v>
      </c>
    </row>
    <row r="1353" spans="1:6" hidden="1" x14ac:dyDescent="0.25">
      <c r="A1353" t="s">
        <v>417</v>
      </c>
      <c r="B1353" t="s">
        <v>69</v>
      </c>
      <c r="E1353" s="3">
        <f>HYPERLINK("https://sao.dolgi.msk.ru/account/1404223563/", 1404223563)</f>
        <v>1404223563</v>
      </c>
      <c r="F1353">
        <v>-1761</v>
      </c>
    </row>
    <row r="1354" spans="1:6" hidden="1" x14ac:dyDescent="0.25">
      <c r="A1354" t="s">
        <v>417</v>
      </c>
      <c r="B1354" t="s">
        <v>70</v>
      </c>
      <c r="E1354" s="3">
        <f>HYPERLINK("https://sao.dolgi.msk.ru/account/1404224013/", 1404224013)</f>
        <v>1404224013</v>
      </c>
      <c r="F1354">
        <v>0</v>
      </c>
    </row>
    <row r="1355" spans="1:6" hidden="1" x14ac:dyDescent="0.25">
      <c r="A1355" t="s">
        <v>417</v>
      </c>
      <c r="B1355" t="s">
        <v>71</v>
      </c>
      <c r="E1355" s="3">
        <f>HYPERLINK("https://sao.dolgi.msk.ru/account/1404223803/", 1404223803)</f>
        <v>1404223803</v>
      </c>
      <c r="F1355">
        <v>0</v>
      </c>
    </row>
    <row r="1356" spans="1:6" x14ac:dyDescent="0.25">
      <c r="A1356" t="s">
        <v>417</v>
      </c>
      <c r="B1356" t="s">
        <v>72</v>
      </c>
      <c r="C1356" s="5" t="str">
        <f t="shared" ref="C1356:C1357" si="58">" кв. "&amp;B1356</f>
        <v xml:space="preserve"> кв. 68</v>
      </c>
      <c r="D1356" s="5" t="str">
        <f>CONCATENATE(A1356,C1356)</f>
        <v>Беломорская ул., дом 11 к.2 кв. 68</v>
      </c>
      <c r="E1356" s="3">
        <f>HYPERLINK("https://sao.dolgi.msk.ru/account/1404223029/", 1404223029)</f>
        <v>1404223029</v>
      </c>
      <c r="F1356">
        <v>1412.45</v>
      </c>
    </row>
    <row r="1357" spans="1:6" x14ac:dyDescent="0.25">
      <c r="A1357" t="s">
        <v>417</v>
      </c>
      <c r="B1357" t="s">
        <v>73</v>
      </c>
      <c r="C1357" s="5" t="str">
        <f t="shared" si="58"/>
        <v xml:space="preserve"> кв. 69</v>
      </c>
      <c r="D1357" s="5" t="str">
        <f>CONCATENATE(A1357,C1357)</f>
        <v>Беломорская ул., дом 11 к.2 кв. 69</v>
      </c>
      <c r="E1357" s="3">
        <f>HYPERLINK("https://sao.dolgi.msk.ru/account/1404223571/", 1404223571)</f>
        <v>1404223571</v>
      </c>
      <c r="F1357">
        <v>1017.6</v>
      </c>
    </row>
    <row r="1358" spans="1:6" hidden="1" x14ac:dyDescent="0.25">
      <c r="A1358" t="s">
        <v>417</v>
      </c>
      <c r="B1358" t="s">
        <v>74</v>
      </c>
      <c r="E1358" s="3">
        <f>HYPERLINK("https://sao.dolgi.msk.ru/account/1404224443/", 1404224443)</f>
        <v>1404224443</v>
      </c>
      <c r="F1358">
        <v>-1440.22</v>
      </c>
    </row>
    <row r="1359" spans="1:6" x14ac:dyDescent="0.25">
      <c r="A1359" t="s">
        <v>417</v>
      </c>
      <c r="B1359" t="s">
        <v>75</v>
      </c>
      <c r="C1359" s="5" t="str">
        <f>" кв. "&amp;B1359</f>
        <v xml:space="preserve"> кв. 71</v>
      </c>
      <c r="D1359" s="5" t="str">
        <f>CONCATENATE(A1359,C1359)</f>
        <v>Беломорская ул., дом 11 к.2 кв. 71</v>
      </c>
      <c r="E1359" s="3">
        <f>HYPERLINK("https://sao.dolgi.msk.ru/account/1404224232/", 1404224232)</f>
        <v>1404224232</v>
      </c>
      <c r="F1359">
        <v>1689.04</v>
      </c>
    </row>
    <row r="1360" spans="1:6" hidden="1" x14ac:dyDescent="0.25">
      <c r="A1360" t="s">
        <v>417</v>
      </c>
      <c r="B1360" t="s">
        <v>76</v>
      </c>
      <c r="E1360" s="3">
        <f>HYPERLINK("https://sao.dolgi.msk.ru/account/1404223598/", 1404223598)</f>
        <v>1404223598</v>
      </c>
      <c r="F1360">
        <v>-1486.95</v>
      </c>
    </row>
    <row r="1361" spans="1:6" x14ac:dyDescent="0.25">
      <c r="A1361" t="s">
        <v>417</v>
      </c>
      <c r="B1361" t="s">
        <v>77</v>
      </c>
      <c r="C1361" s="5" t="str">
        <f t="shared" ref="C1361:C1362" si="59">" кв. "&amp;B1361</f>
        <v xml:space="preserve"> кв. 73</v>
      </c>
      <c r="D1361" s="5" t="str">
        <f>CONCATENATE(A1361,C1361)</f>
        <v>Беломорская ул., дом 11 к.2 кв. 73</v>
      </c>
      <c r="E1361" s="3">
        <f>HYPERLINK("https://sao.dolgi.msk.ru/account/1404224291/", 1404224291)</f>
        <v>1404224291</v>
      </c>
      <c r="F1361">
        <v>2226.75</v>
      </c>
    </row>
    <row r="1362" spans="1:6" x14ac:dyDescent="0.25">
      <c r="A1362" t="s">
        <v>417</v>
      </c>
      <c r="B1362" t="s">
        <v>78</v>
      </c>
      <c r="C1362" s="5" t="str">
        <f t="shared" si="59"/>
        <v xml:space="preserve"> кв. 74</v>
      </c>
      <c r="D1362" s="5" t="str">
        <f>CONCATENATE(A1362,C1362)</f>
        <v>Беломорская ул., дом 11 к.2 кв. 74</v>
      </c>
      <c r="E1362" s="3">
        <f>HYPERLINK("https://sao.dolgi.msk.ru/account/1404224304/", 1404224304)</f>
        <v>1404224304</v>
      </c>
      <c r="F1362">
        <v>1790.26</v>
      </c>
    </row>
    <row r="1363" spans="1:6" hidden="1" x14ac:dyDescent="0.25">
      <c r="A1363" t="s">
        <v>417</v>
      </c>
      <c r="B1363" t="s">
        <v>79</v>
      </c>
      <c r="E1363" s="3">
        <f>HYPERLINK("https://sao.dolgi.msk.ru/account/1404223061/", 1404223061)</f>
        <v>1404223061</v>
      </c>
      <c r="F1363">
        <v>-2074.7199999999998</v>
      </c>
    </row>
    <row r="1364" spans="1:6" hidden="1" x14ac:dyDescent="0.25">
      <c r="A1364" t="s">
        <v>417</v>
      </c>
      <c r="B1364" t="s">
        <v>80</v>
      </c>
      <c r="E1364" s="3">
        <f>HYPERLINK("https://sao.dolgi.msk.ru/account/1404223643/", 1404223643)</f>
        <v>1404223643</v>
      </c>
      <c r="F1364">
        <v>-1784.12</v>
      </c>
    </row>
    <row r="1365" spans="1:6" hidden="1" x14ac:dyDescent="0.25">
      <c r="A1365" t="s">
        <v>417</v>
      </c>
      <c r="B1365" t="s">
        <v>81</v>
      </c>
      <c r="E1365" s="3">
        <f>HYPERLINK("https://sao.dolgi.msk.ru/account/1404223221/", 1404223221)</f>
        <v>1404223221</v>
      </c>
      <c r="F1365">
        <v>-2030.82</v>
      </c>
    </row>
    <row r="1366" spans="1:6" hidden="1" x14ac:dyDescent="0.25">
      <c r="A1366" t="s">
        <v>417</v>
      </c>
      <c r="B1366" t="s">
        <v>82</v>
      </c>
      <c r="E1366" s="3">
        <f>HYPERLINK("https://sao.dolgi.msk.ru/account/1404223248/", 1404223248)</f>
        <v>1404223248</v>
      </c>
      <c r="F1366">
        <v>-2125.35</v>
      </c>
    </row>
    <row r="1367" spans="1:6" hidden="1" x14ac:dyDescent="0.25">
      <c r="A1367" t="s">
        <v>417</v>
      </c>
      <c r="B1367" t="s">
        <v>83</v>
      </c>
      <c r="E1367" s="3">
        <f>HYPERLINK("https://sao.dolgi.msk.ru/account/1404223256/", 1404223256)</f>
        <v>1404223256</v>
      </c>
      <c r="F1367">
        <v>-2074.7199999999998</v>
      </c>
    </row>
    <row r="1368" spans="1:6" hidden="1" x14ac:dyDescent="0.25">
      <c r="A1368" t="s">
        <v>417</v>
      </c>
      <c r="B1368" t="s">
        <v>84</v>
      </c>
      <c r="E1368" s="3">
        <f>HYPERLINK("https://sao.dolgi.msk.ru/account/1404223651/", 1404223651)</f>
        <v>1404223651</v>
      </c>
      <c r="F1368">
        <v>-1784.12</v>
      </c>
    </row>
    <row r="1369" spans="1:6" x14ac:dyDescent="0.25">
      <c r="A1369" t="s">
        <v>417</v>
      </c>
      <c r="B1369" t="s">
        <v>85</v>
      </c>
      <c r="C1369" s="5" t="str">
        <f>" кв. "&amp;B1369</f>
        <v xml:space="preserve"> кв. 81</v>
      </c>
      <c r="D1369" s="5" t="str">
        <f>CONCATENATE(A1369,C1369)</f>
        <v>Беломорская ул., дом 11 к.2 кв. 81</v>
      </c>
      <c r="E1369" s="3">
        <f>HYPERLINK("https://sao.dolgi.msk.ru/account/1404223088/", 1404223088)</f>
        <v>1404223088</v>
      </c>
      <c r="F1369">
        <v>2226.75</v>
      </c>
    </row>
    <row r="1370" spans="1:6" hidden="1" x14ac:dyDescent="0.25">
      <c r="A1370" t="s">
        <v>417</v>
      </c>
      <c r="B1370" t="s">
        <v>86</v>
      </c>
      <c r="E1370" s="3">
        <f>HYPERLINK("https://sao.dolgi.msk.ru/account/1404224312/", 1404224312)</f>
        <v>1404224312</v>
      </c>
      <c r="F1370">
        <v>0</v>
      </c>
    </row>
    <row r="1371" spans="1:6" hidden="1" x14ac:dyDescent="0.25">
      <c r="A1371" t="s">
        <v>417</v>
      </c>
      <c r="B1371" t="s">
        <v>87</v>
      </c>
      <c r="E1371" s="3">
        <f>HYPERLINK("https://sao.dolgi.msk.ru/account/1404223491/", 1404223491)</f>
        <v>1404223491</v>
      </c>
      <c r="F1371">
        <v>-536.94000000000005</v>
      </c>
    </row>
    <row r="1372" spans="1:6" hidden="1" x14ac:dyDescent="0.25">
      <c r="A1372" t="s">
        <v>417</v>
      </c>
      <c r="B1372" t="s">
        <v>88</v>
      </c>
      <c r="E1372" s="3">
        <f>HYPERLINK("https://sao.dolgi.msk.ru/account/1404223504/", 1404223504)</f>
        <v>1404223504</v>
      </c>
      <c r="F1372">
        <v>-1770.25</v>
      </c>
    </row>
    <row r="1373" spans="1:6" hidden="1" x14ac:dyDescent="0.25">
      <c r="A1373" t="s">
        <v>417</v>
      </c>
      <c r="B1373" t="s">
        <v>89</v>
      </c>
      <c r="E1373" s="3">
        <f>HYPERLINK("https://sao.dolgi.msk.ru/account/1404224072/", 1404224072)</f>
        <v>1404224072</v>
      </c>
      <c r="F1373">
        <v>-3258.56</v>
      </c>
    </row>
    <row r="1374" spans="1:6" x14ac:dyDescent="0.25">
      <c r="A1374" t="s">
        <v>417</v>
      </c>
      <c r="B1374" t="s">
        <v>90</v>
      </c>
      <c r="C1374" s="5" t="str">
        <f>" кв. "&amp;B1374</f>
        <v xml:space="preserve"> кв. 86</v>
      </c>
      <c r="D1374" s="5" t="str">
        <f>CONCATENATE(A1374,C1374)</f>
        <v>Беломорская ул., дом 11 к.2 кв. 86</v>
      </c>
      <c r="E1374" s="3">
        <f>HYPERLINK("https://sao.dolgi.msk.ru/account/1404224451/", 1404224451)</f>
        <v>1404224451</v>
      </c>
      <c r="F1374">
        <v>1268.3599999999999</v>
      </c>
    </row>
    <row r="1375" spans="1:6" hidden="1" x14ac:dyDescent="0.25">
      <c r="A1375" t="s">
        <v>417</v>
      </c>
      <c r="B1375" t="s">
        <v>91</v>
      </c>
      <c r="E1375" s="3">
        <f>HYPERLINK("https://sao.dolgi.msk.ru/account/1404223619/", 1404223619)</f>
        <v>1404223619</v>
      </c>
      <c r="F1375">
        <v>-2458.94</v>
      </c>
    </row>
    <row r="1376" spans="1:6" hidden="1" x14ac:dyDescent="0.25">
      <c r="A1376" t="s">
        <v>417</v>
      </c>
      <c r="B1376" t="s">
        <v>92</v>
      </c>
      <c r="E1376" s="3">
        <f>HYPERLINK("https://sao.dolgi.msk.ru/account/1404223432/", 1404223432)</f>
        <v>1404223432</v>
      </c>
      <c r="F1376">
        <v>-1774.87</v>
      </c>
    </row>
    <row r="1377" spans="1:6" x14ac:dyDescent="0.25">
      <c r="A1377" t="s">
        <v>417</v>
      </c>
      <c r="B1377" t="s">
        <v>93</v>
      </c>
      <c r="C1377" s="5" t="str">
        <f t="shared" ref="C1377:C1378" si="60">" кв. "&amp;B1377</f>
        <v xml:space="preserve"> кв. 89</v>
      </c>
      <c r="D1377" s="5" t="str">
        <f>CONCATENATE(A1377,C1377)</f>
        <v>Беломорская ул., дом 11 к.2 кв. 89</v>
      </c>
      <c r="E1377" s="3">
        <f>HYPERLINK("https://sao.dolgi.msk.ru/account/1404224478/", 1404224478)</f>
        <v>1404224478</v>
      </c>
      <c r="F1377">
        <v>2229.92</v>
      </c>
    </row>
    <row r="1378" spans="1:6" x14ac:dyDescent="0.25">
      <c r="A1378" t="s">
        <v>417</v>
      </c>
      <c r="B1378" t="s">
        <v>94</v>
      </c>
      <c r="C1378" s="5" t="str">
        <f t="shared" si="60"/>
        <v xml:space="preserve"> кв. 90</v>
      </c>
      <c r="D1378" s="5" t="str">
        <f>CONCATENATE(A1378,C1378)</f>
        <v>Беломорская ул., дом 11 к.2 кв. 90</v>
      </c>
      <c r="E1378" s="3">
        <f>HYPERLINK("https://sao.dolgi.msk.ru/account/1404224048/", 1404224048)</f>
        <v>1404224048</v>
      </c>
      <c r="F1378">
        <v>1790.26</v>
      </c>
    </row>
    <row r="1379" spans="1:6" hidden="1" x14ac:dyDescent="0.25">
      <c r="A1379" t="s">
        <v>417</v>
      </c>
      <c r="B1379" t="s">
        <v>95</v>
      </c>
      <c r="E1379" s="3">
        <f>HYPERLINK("https://sao.dolgi.msk.ru/account/1404223811/", 1404223811)</f>
        <v>1404223811</v>
      </c>
      <c r="F1379">
        <v>-388.1</v>
      </c>
    </row>
    <row r="1380" spans="1:6" hidden="1" x14ac:dyDescent="0.25">
      <c r="A1380" t="s">
        <v>417</v>
      </c>
      <c r="B1380" t="s">
        <v>96</v>
      </c>
      <c r="E1380" s="3">
        <f>HYPERLINK("https://sao.dolgi.msk.ru/account/1404223037/", 1404223037)</f>
        <v>1404223037</v>
      </c>
      <c r="F1380">
        <v>-1502.52</v>
      </c>
    </row>
    <row r="1381" spans="1:6" hidden="1" x14ac:dyDescent="0.25">
      <c r="A1381" t="s">
        <v>417</v>
      </c>
      <c r="B1381" t="s">
        <v>97</v>
      </c>
      <c r="E1381" s="3">
        <f>HYPERLINK("https://sao.dolgi.msk.ru/account/1404224267/", 1404224267)</f>
        <v>1404224267</v>
      </c>
      <c r="F1381">
        <v>-2143.6</v>
      </c>
    </row>
    <row r="1382" spans="1:6" hidden="1" x14ac:dyDescent="0.25">
      <c r="A1382" t="s">
        <v>417</v>
      </c>
      <c r="B1382" t="s">
        <v>98</v>
      </c>
      <c r="E1382" s="3">
        <f>HYPERLINK("https://sao.dolgi.msk.ru/account/1404223045/", 1404223045)</f>
        <v>1404223045</v>
      </c>
      <c r="F1382">
        <v>-2199.3000000000002</v>
      </c>
    </row>
    <row r="1383" spans="1:6" hidden="1" x14ac:dyDescent="0.25">
      <c r="A1383" t="s">
        <v>417</v>
      </c>
      <c r="B1383" t="s">
        <v>99</v>
      </c>
      <c r="E1383" s="3">
        <f>HYPERLINK("https://sao.dolgi.msk.ru/account/1404224494/", 1404224494)</f>
        <v>1404224494</v>
      </c>
      <c r="F1383">
        <v>-1556.7</v>
      </c>
    </row>
    <row r="1384" spans="1:6" x14ac:dyDescent="0.25">
      <c r="A1384" t="s">
        <v>417</v>
      </c>
      <c r="B1384" t="s">
        <v>100</v>
      </c>
      <c r="C1384" s="5" t="str">
        <f>" кв. "&amp;B1384</f>
        <v xml:space="preserve"> кв. 96</v>
      </c>
      <c r="D1384" s="5" t="str">
        <f>CONCATENATE(A1384,C1384)</f>
        <v>Беломорская ул., дом 11 к.2 кв. 96</v>
      </c>
      <c r="E1384" s="3">
        <f>HYPERLINK("https://sao.dolgi.msk.ru/account/1404223838/", 1404223838)</f>
        <v>1404223838</v>
      </c>
      <c r="F1384">
        <v>1224.08</v>
      </c>
    </row>
    <row r="1385" spans="1:6" hidden="1" x14ac:dyDescent="0.25">
      <c r="A1385" t="s">
        <v>417</v>
      </c>
      <c r="B1385" t="s">
        <v>101</v>
      </c>
      <c r="E1385" s="3">
        <f>HYPERLINK("https://sao.dolgi.msk.ru/account/1404224507/", 1404224507)</f>
        <v>1404224507</v>
      </c>
      <c r="F1385">
        <v>-5963</v>
      </c>
    </row>
    <row r="1386" spans="1:6" x14ac:dyDescent="0.25">
      <c r="A1386" t="s">
        <v>417</v>
      </c>
      <c r="B1386" t="s">
        <v>102</v>
      </c>
      <c r="C1386" s="5" t="str">
        <f>" кв. "&amp;B1386</f>
        <v xml:space="preserve"> кв. 98</v>
      </c>
      <c r="D1386" s="5" t="str">
        <f>CONCATENATE(A1386,C1386)</f>
        <v>Беломорская ул., дом 11 к.2 кв. 98</v>
      </c>
      <c r="E1386" s="3">
        <f>HYPERLINK("https://sao.dolgi.msk.ru/account/1404224216/", 1404224216)</f>
        <v>1404224216</v>
      </c>
      <c r="F1386">
        <v>1258.8699999999999</v>
      </c>
    </row>
    <row r="1387" spans="1:6" hidden="1" x14ac:dyDescent="0.25">
      <c r="A1387" t="s">
        <v>417</v>
      </c>
      <c r="B1387" t="s">
        <v>103</v>
      </c>
      <c r="E1387" s="3">
        <f>HYPERLINK("https://sao.dolgi.msk.ru/account/1404224056/", 1404224056)</f>
        <v>1404224056</v>
      </c>
      <c r="F1387">
        <v>-2477.4299999999998</v>
      </c>
    </row>
    <row r="1388" spans="1:6" hidden="1" x14ac:dyDescent="0.25">
      <c r="A1388" t="s">
        <v>417</v>
      </c>
      <c r="B1388" t="s">
        <v>104</v>
      </c>
      <c r="E1388" s="3">
        <f>HYPERLINK("https://sao.dolgi.msk.ru/account/1404224101/", 1404224101)</f>
        <v>1404224101</v>
      </c>
      <c r="F1388">
        <v>-1774.87</v>
      </c>
    </row>
    <row r="1389" spans="1:6" x14ac:dyDescent="0.25">
      <c r="A1389" t="s">
        <v>417</v>
      </c>
      <c r="B1389" t="s">
        <v>105</v>
      </c>
      <c r="C1389" s="5" t="str">
        <f>" кв. "&amp;B1389</f>
        <v xml:space="preserve"> кв. 101</v>
      </c>
      <c r="D1389" s="5" t="str">
        <f>CONCATENATE(A1389,C1389)</f>
        <v>Беломорская ул., дом 11 к.2 кв. 101</v>
      </c>
      <c r="E1389" s="3">
        <f>HYPERLINK("https://sao.dolgi.msk.ru/account/1404224339/", 1404224339)</f>
        <v>1404224339</v>
      </c>
      <c r="F1389">
        <v>2229.92</v>
      </c>
    </row>
    <row r="1390" spans="1:6" hidden="1" x14ac:dyDescent="0.25">
      <c r="A1390" t="s">
        <v>417</v>
      </c>
      <c r="B1390" t="s">
        <v>106</v>
      </c>
      <c r="E1390" s="3">
        <f>HYPERLINK("https://sao.dolgi.msk.ru/account/1404223109/", 1404223109)</f>
        <v>1404223109</v>
      </c>
      <c r="F1390">
        <v>-4390.78</v>
      </c>
    </row>
    <row r="1391" spans="1:6" x14ac:dyDescent="0.25">
      <c r="A1391" t="s">
        <v>417</v>
      </c>
      <c r="B1391" t="s">
        <v>107</v>
      </c>
      <c r="C1391" s="5" t="str">
        <f t="shared" ref="C1391:C1393" si="61">" кв. "&amp;B1391</f>
        <v xml:space="preserve"> кв. 103</v>
      </c>
      <c r="D1391" s="5" t="str">
        <f>CONCATENATE(A1391,C1391)</f>
        <v>Беломорская ул., дом 11 к.2 кв. 103</v>
      </c>
      <c r="E1391" s="3">
        <f>HYPERLINK("https://sao.dolgi.msk.ru/account/1404222886/", 1404222886)</f>
        <v>1404222886</v>
      </c>
      <c r="F1391">
        <v>1685.88</v>
      </c>
    </row>
    <row r="1392" spans="1:6" x14ac:dyDescent="0.25">
      <c r="A1392" t="s">
        <v>417</v>
      </c>
      <c r="B1392" t="s">
        <v>108</v>
      </c>
      <c r="C1392" s="5" t="str">
        <f t="shared" si="61"/>
        <v xml:space="preserve"> кв. 104</v>
      </c>
      <c r="D1392" s="5" t="str">
        <f>CONCATENATE(A1392,C1392)</f>
        <v>Беломорская ул., дом 11 к.2 кв. 104</v>
      </c>
      <c r="E1392" s="3">
        <f>HYPERLINK("https://sao.dolgi.msk.ru/account/1404223512/", 1404223512)</f>
        <v>1404223512</v>
      </c>
      <c r="F1392">
        <v>1217.76</v>
      </c>
    </row>
    <row r="1393" spans="1:6" x14ac:dyDescent="0.25">
      <c r="A1393" t="s">
        <v>417</v>
      </c>
      <c r="B1393" t="s">
        <v>109</v>
      </c>
      <c r="C1393" s="5" t="str">
        <f t="shared" si="61"/>
        <v xml:space="preserve"> кв. 105</v>
      </c>
      <c r="D1393" s="5" t="str">
        <f>CONCATENATE(A1393,C1393)</f>
        <v>Беломорская ул., дом 11 к.2 кв. 105</v>
      </c>
      <c r="E1393" s="3">
        <f>HYPERLINK("https://sao.dolgi.msk.ru/account/1404223483/", 1404223483)</f>
        <v>1404223483</v>
      </c>
      <c r="F1393">
        <v>2226.75</v>
      </c>
    </row>
    <row r="1394" spans="1:6" hidden="1" x14ac:dyDescent="0.25">
      <c r="A1394" t="s">
        <v>417</v>
      </c>
      <c r="B1394" t="s">
        <v>110</v>
      </c>
      <c r="E1394" s="3">
        <f>HYPERLINK("https://sao.dolgi.msk.ru/account/1404224347/", 1404224347)</f>
        <v>1404224347</v>
      </c>
      <c r="F1394">
        <v>-2611.48</v>
      </c>
    </row>
    <row r="1395" spans="1:6" hidden="1" x14ac:dyDescent="0.25">
      <c r="A1395" t="s">
        <v>417</v>
      </c>
      <c r="B1395" t="s">
        <v>111</v>
      </c>
      <c r="E1395" s="3">
        <f>HYPERLINK("https://sao.dolgi.msk.ru/account/1404222894/", 1404222894)</f>
        <v>1404222894</v>
      </c>
      <c r="F1395">
        <v>-779.14</v>
      </c>
    </row>
    <row r="1396" spans="1:6" x14ac:dyDescent="0.25">
      <c r="A1396" t="s">
        <v>417</v>
      </c>
      <c r="B1396" t="s">
        <v>112</v>
      </c>
      <c r="C1396" s="5" t="str">
        <f t="shared" ref="C1396:C1397" si="62">" кв. "&amp;B1396</f>
        <v xml:space="preserve"> кв. 108</v>
      </c>
      <c r="D1396" s="5" t="str">
        <f>CONCATENATE(A1396,C1396)</f>
        <v>Беломорская ул., дом 11 к.2 кв. 108</v>
      </c>
      <c r="E1396" s="3">
        <f>HYPERLINK("https://sao.dolgi.msk.ru/account/1404224128/", 1404224128)</f>
        <v>1404224128</v>
      </c>
      <c r="F1396">
        <v>1217.76</v>
      </c>
    </row>
    <row r="1397" spans="1:6" x14ac:dyDescent="0.25">
      <c r="A1397" t="s">
        <v>417</v>
      </c>
      <c r="B1397" t="s">
        <v>113</v>
      </c>
      <c r="C1397" s="5" t="str">
        <f t="shared" si="62"/>
        <v xml:space="preserve"> кв. 109</v>
      </c>
      <c r="D1397" s="5" t="str">
        <f>CONCATENATE(A1397,C1397)</f>
        <v>Беломорская ул., дом 11 к.2 кв. 109</v>
      </c>
      <c r="E1397" s="3">
        <f>HYPERLINK("https://sao.dolgi.msk.ru/account/1404224355/", 1404224355)</f>
        <v>1404224355</v>
      </c>
      <c r="F1397">
        <v>2233.08</v>
      </c>
    </row>
    <row r="1398" spans="1:6" hidden="1" x14ac:dyDescent="0.25">
      <c r="A1398" t="s">
        <v>417</v>
      </c>
      <c r="B1398" t="s">
        <v>114</v>
      </c>
      <c r="E1398" s="3">
        <f>HYPERLINK("https://sao.dolgi.msk.ru/account/1404223301/", 1404223301)</f>
        <v>1404223301</v>
      </c>
      <c r="F1398">
        <v>-2606.85</v>
      </c>
    </row>
    <row r="1399" spans="1:6" hidden="1" x14ac:dyDescent="0.25">
      <c r="A1399" t="s">
        <v>417</v>
      </c>
      <c r="B1399" t="s">
        <v>115</v>
      </c>
      <c r="E1399" s="3">
        <f>HYPERLINK("https://sao.dolgi.msk.ru/account/1404224398/", 1404224398)</f>
        <v>1404224398</v>
      </c>
      <c r="F1399">
        <v>-2074.7199999999998</v>
      </c>
    </row>
    <row r="1400" spans="1:6" x14ac:dyDescent="0.25">
      <c r="A1400" t="s">
        <v>417</v>
      </c>
      <c r="B1400" t="s">
        <v>116</v>
      </c>
      <c r="C1400" s="5" t="str">
        <f>" кв. "&amp;B1400</f>
        <v xml:space="preserve"> кв. 112</v>
      </c>
      <c r="D1400" s="5" t="str">
        <f>CONCATENATE(A1400,C1400)</f>
        <v>Беломорская ул., дом 11 к.2 кв. 112</v>
      </c>
      <c r="E1400" s="3">
        <f>HYPERLINK("https://sao.dolgi.msk.ru/account/1404223758/", 1404223758)</f>
        <v>1404223758</v>
      </c>
      <c r="F1400">
        <v>1214.5899999999999</v>
      </c>
    </row>
    <row r="1401" spans="1:6" hidden="1" x14ac:dyDescent="0.25">
      <c r="A1401" t="s">
        <v>417</v>
      </c>
      <c r="B1401" t="s">
        <v>117</v>
      </c>
      <c r="E1401" s="3">
        <f>HYPERLINK("https://sao.dolgi.msk.ru/account/1404223897/", 1404223897)</f>
        <v>1404223897</v>
      </c>
      <c r="F1401">
        <v>-2005.98</v>
      </c>
    </row>
    <row r="1402" spans="1:6" hidden="1" x14ac:dyDescent="0.25">
      <c r="A1402" t="s">
        <v>417</v>
      </c>
      <c r="B1402" t="s">
        <v>118</v>
      </c>
      <c r="E1402" s="3">
        <f>HYPERLINK("https://sao.dolgi.msk.ru/account/1404223934/", 1404223934)</f>
        <v>1404223934</v>
      </c>
      <c r="F1402">
        <v>-2597.61</v>
      </c>
    </row>
    <row r="1403" spans="1:6" hidden="1" x14ac:dyDescent="0.25">
      <c r="A1403" t="s">
        <v>417</v>
      </c>
      <c r="B1403" t="s">
        <v>119</v>
      </c>
      <c r="E1403" s="3">
        <f>HYPERLINK("https://sao.dolgi.msk.ru/account/1404223133/", 1404223133)</f>
        <v>1404223133</v>
      </c>
      <c r="F1403">
        <v>-2454.31</v>
      </c>
    </row>
    <row r="1404" spans="1:6" hidden="1" x14ac:dyDescent="0.25">
      <c r="A1404" t="s">
        <v>417</v>
      </c>
      <c r="B1404" t="s">
        <v>120</v>
      </c>
      <c r="E1404" s="3">
        <f>HYPERLINK("https://sao.dolgi.msk.ru/account/1404224195/", 1404224195)</f>
        <v>1404224195</v>
      </c>
      <c r="F1404">
        <v>-1784.12</v>
      </c>
    </row>
    <row r="1405" spans="1:6" hidden="1" x14ac:dyDescent="0.25">
      <c r="A1405" t="s">
        <v>417</v>
      </c>
      <c r="B1405" t="s">
        <v>121</v>
      </c>
      <c r="E1405" s="3">
        <f>HYPERLINK("https://sao.dolgi.msk.ru/account/1404223141/", 1404223141)</f>
        <v>1404223141</v>
      </c>
      <c r="F1405">
        <v>-3253.93</v>
      </c>
    </row>
    <row r="1406" spans="1:6" x14ac:dyDescent="0.25">
      <c r="A1406" t="s">
        <v>417</v>
      </c>
      <c r="B1406" t="s">
        <v>122</v>
      </c>
      <c r="C1406" s="5" t="str">
        <f>" кв. "&amp;B1406</f>
        <v xml:space="preserve"> кв. 118</v>
      </c>
      <c r="D1406" s="5" t="str">
        <f>CONCATENATE(A1406,C1406)</f>
        <v>Беломорская ул., дом 11 к.2 кв. 118</v>
      </c>
      <c r="E1406" s="3">
        <f>HYPERLINK("https://sao.dolgi.msk.ru/account/1404224523/", 1404224523)</f>
        <v>1404224523</v>
      </c>
      <c r="F1406">
        <v>1780.77</v>
      </c>
    </row>
    <row r="1407" spans="1:6" hidden="1" x14ac:dyDescent="0.25">
      <c r="A1407" t="s">
        <v>417</v>
      </c>
      <c r="B1407" t="s">
        <v>123</v>
      </c>
      <c r="E1407" s="3">
        <f>HYPERLINK("https://sao.dolgi.msk.ru/account/1404224515/", 1404224515)</f>
        <v>1404224515</v>
      </c>
      <c r="F1407">
        <v>0</v>
      </c>
    </row>
    <row r="1408" spans="1:6" x14ac:dyDescent="0.25">
      <c r="A1408" t="s">
        <v>417</v>
      </c>
      <c r="B1408" t="s">
        <v>123</v>
      </c>
      <c r="C1408" s="5" t="str">
        <f>" кв. "&amp;B1408</f>
        <v xml:space="preserve"> кв. 119</v>
      </c>
      <c r="D1408" s="5" t="str">
        <f>CONCATENATE(A1408,C1408)</f>
        <v>Беломорская ул., дом 11 к.2 кв. 119</v>
      </c>
      <c r="E1408" s="3">
        <f>HYPERLINK("https://sao.dolgi.msk.ru/account/1404224531/", 1404224531)</f>
        <v>1404224531</v>
      </c>
      <c r="F1408">
        <v>1353.76</v>
      </c>
    </row>
    <row r="1409" spans="1:6" hidden="1" x14ac:dyDescent="0.25">
      <c r="A1409" t="s">
        <v>417</v>
      </c>
      <c r="B1409" t="s">
        <v>124</v>
      </c>
      <c r="E1409" s="3">
        <f>HYPERLINK("https://sao.dolgi.msk.ru/account/1404224064/", 1404224064)</f>
        <v>1404224064</v>
      </c>
      <c r="F1409">
        <v>-1774.87</v>
      </c>
    </row>
    <row r="1410" spans="1:6" hidden="1" x14ac:dyDescent="0.25">
      <c r="A1410" t="s">
        <v>417</v>
      </c>
      <c r="B1410" t="s">
        <v>125</v>
      </c>
      <c r="E1410" s="3">
        <f>HYPERLINK("https://sao.dolgi.msk.ru/account/1404224005/", 1404224005)</f>
        <v>1404224005</v>
      </c>
      <c r="F1410">
        <v>0</v>
      </c>
    </row>
    <row r="1411" spans="1:6" hidden="1" x14ac:dyDescent="0.25">
      <c r="A1411" t="s">
        <v>417</v>
      </c>
      <c r="B1411" t="s">
        <v>126</v>
      </c>
      <c r="E1411" s="3">
        <f>HYPERLINK("https://sao.dolgi.msk.ru/account/1404224275/", 1404224275)</f>
        <v>1404224275</v>
      </c>
      <c r="F1411">
        <v>-2606.85</v>
      </c>
    </row>
    <row r="1412" spans="1:6" hidden="1" x14ac:dyDescent="0.25">
      <c r="A1412" t="s">
        <v>417</v>
      </c>
      <c r="B1412" t="s">
        <v>127</v>
      </c>
      <c r="E1412" s="3">
        <f>HYPERLINK("https://sao.dolgi.msk.ru/account/1404223846/", 1404223846)</f>
        <v>1404223846</v>
      </c>
      <c r="F1412">
        <v>-3143.47</v>
      </c>
    </row>
    <row r="1413" spans="1:6" x14ac:dyDescent="0.25">
      <c r="A1413" t="s">
        <v>417</v>
      </c>
      <c r="B1413" t="s">
        <v>128</v>
      </c>
      <c r="C1413" s="5" t="str">
        <f>" кв. "&amp;B1413</f>
        <v xml:space="preserve"> кв. 124</v>
      </c>
      <c r="D1413" s="5" t="str">
        <f>CONCATENATE(A1413,C1413)</f>
        <v>Беломорская ул., дом 11 к.2 кв. 124</v>
      </c>
      <c r="E1413" s="3">
        <f>HYPERLINK("https://sao.dolgi.msk.ru/account/1404223184/", 1404223184)</f>
        <v>1404223184</v>
      </c>
      <c r="F1413">
        <v>1220.92</v>
      </c>
    </row>
    <row r="1414" spans="1:6" hidden="1" x14ac:dyDescent="0.25">
      <c r="A1414" t="s">
        <v>417</v>
      </c>
      <c r="B1414" t="s">
        <v>129</v>
      </c>
      <c r="E1414" s="3">
        <f>HYPERLINK("https://sao.dolgi.msk.ru/account/1404223192/", 1404223192)</f>
        <v>1404223192</v>
      </c>
      <c r="F1414">
        <v>0</v>
      </c>
    </row>
    <row r="1415" spans="1:6" x14ac:dyDescent="0.25">
      <c r="A1415" t="s">
        <v>417</v>
      </c>
      <c r="B1415" t="s">
        <v>130</v>
      </c>
      <c r="C1415" s="5" t="str">
        <f t="shared" ref="C1415:C1416" si="63">" кв. "&amp;B1415</f>
        <v xml:space="preserve"> кв. 126</v>
      </c>
      <c r="D1415" s="5" t="str">
        <f>CONCATENATE(A1415,C1415)</f>
        <v>Беломорская ул., дом 11 к.2 кв. 126</v>
      </c>
      <c r="E1415" s="3">
        <f>HYPERLINK("https://sao.dolgi.msk.ru/account/1404223627/", 1404223627)</f>
        <v>1404223627</v>
      </c>
      <c r="F1415">
        <v>1787.1</v>
      </c>
    </row>
    <row r="1416" spans="1:6" x14ac:dyDescent="0.25">
      <c r="A1416" t="s">
        <v>417</v>
      </c>
      <c r="B1416" t="s">
        <v>131</v>
      </c>
      <c r="C1416" s="5" t="str">
        <f t="shared" si="63"/>
        <v xml:space="preserve"> кв. 127</v>
      </c>
      <c r="D1416" s="5" t="str">
        <f>CONCATENATE(A1416,C1416)</f>
        <v>Беломорская ул., дом 11 к.2 кв. 127</v>
      </c>
      <c r="E1416" s="3">
        <f>HYPERLINK("https://sao.dolgi.msk.ru/account/1404223053/", 1404223053)</f>
        <v>1404223053</v>
      </c>
      <c r="F1416">
        <v>1689.04</v>
      </c>
    </row>
    <row r="1417" spans="1:6" hidden="1" x14ac:dyDescent="0.25">
      <c r="A1417" t="s">
        <v>417</v>
      </c>
      <c r="B1417" t="s">
        <v>132</v>
      </c>
      <c r="E1417" s="3">
        <f>HYPERLINK("https://sao.dolgi.msk.ru/account/1404223205/", 1404223205)</f>
        <v>1404223205</v>
      </c>
      <c r="F1417">
        <v>0</v>
      </c>
    </row>
    <row r="1418" spans="1:6" x14ac:dyDescent="0.25">
      <c r="A1418" t="s">
        <v>417</v>
      </c>
      <c r="B1418" t="s">
        <v>133</v>
      </c>
      <c r="C1418" s="5" t="str">
        <f>" кв. "&amp;B1418</f>
        <v xml:space="preserve"> кв. 129</v>
      </c>
      <c r="D1418" s="5" t="str">
        <f>CONCATENATE(A1418,C1418)</f>
        <v>Беломорская ул., дом 11 к.2 кв. 129</v>
      </c>
      <c r="E1418" s="3">
        <f>HYPERLINK("https://sao.dolgi.msk.ru/account/1404223854/", 1404223854)</f>
        <v>1404223854</v>
      </c>
      <c r="F1418">
        <v>2233.08</v>
      </c>
    </row>
    <row r="1419" spans="1:6" hidden="1" x14ac:dyDescent="0.25">
      <c r="A1419" t="s">
        <v>417</v>
      </c>
      <c r="B1419" t="s">
        <v>134</v>
      </c>
      <c r="E1419" s="3">
        <f>HYPERLINK("https://sao.dolgi.msk.ru/account/1404223862/", 1404223862)</f>
        <v>1404223862</v>
      </c>
      <c r="F1419">
        <v>-1665.71</v>
      </c>
    </row>
    <row r="1420" spans="1:6" x14ac:dyDescent="0.25">
      <c r="A1420" t="s">
        <v>417</v>
      </c>
      <c r="B1420" t="s">
        <v>135</v>
      </c>
      <c r="C1420" s="5" t="str">
        <f t="shared" ref="C1420:C1421" si="64">" кв. "&amp;B1420</f>
        <v xml:space="preserve"> кв. 131</v>
      </c>
      <c r="D1420" s="5" t="str">
        <f>CONCATENATE(A1420,C1420)</f>
        <v>Беломорская ул., дом 11 к.2 кв. 131</v>
      </c>
      <c r="E1420" s="3">
        <f>HYPERLINK("https://sao.dolgi.msk.ru/account/1404223213/", 1404223213)</f>
        <v>1404223213</v>
      </c>
      <c r="F1420">
        <v>1685.88</v>
      </c>
    </row>
    <row r="1421" spans="1:6" x14ac:dyDescent="0.25">
      <c r="A1421" t="s">
        <v>417</v>
      </c>
      <c r="B1421" t="s">
        <v>136</v>
      </c>
      <c r="C1421" s="5" t="str">
        <f t="shared" si="64"/>
        <v xml:space="preserve"> кв. 132</v>
      </c>
      <c r="D1421" s="5" t="str">
        <f>CONCATENATE(A1421,C1421)</f>
        <v>Беломорская ул., дом 11 к.2 кв. 132</v>
      </c>
      <c r="E1421" s="3">
        <f>HYPERLINK("https://sao.dolgi.msk.ru/account/1404223635/", 1404223635)</f>
        <v>1404223635</v>
      </c>
      <c r="F1421">
        <v>1214.5899999999999</v>
      </c>
    </row>
    <row r="1422" spans="1:6" hidden="1" x14ac:dyDescent="0.25">
      <c r="A1422" t="s">
        <v>417</v>
      </c>
      <c r="B1422" t="s">
        <v>137</v>
      </c>
      <c r="E1422" s="3">
        <f>HYPERLINK("https://sao.dolgi.msk.ru/account/1404223889/", 1404223889)</f>
        <v>1404223889</v>
      </c>
      <c r="F1422">
        <v>0</v>
      </c>
    </row>
    <row r="1423" spans="1:6" hidden="1" x14ac:dyDescent="0.25">
      <c r="A1423" t="s">
        <v>417</v>
      </c>
      <c r="B1423" t="s">
        <v>138</v>
      </c>
      <c r="E1423" s="3">
        <f>HYPERLINK("https://sao.dolgi.msk.ru/account/1404223459/", 1404223459)</f>
        <v>1404223459</v>
      </c>
      <c r="F1423">
        <v>0</v>
      </c>
    </row>
    <row r="1424" spans="1:6" hidden="1" x14ac:dyDescent="0.25">
      <c r="A1424" t="s">
        <v>418</v>
      </c>
      <c r="B1424" t="s">
        <v>5</v>
      </c>
      <c r="E1424" s="3">
        <f>HYPERLINK("https://sao.dolgi.msk.ru/account/1404225796/", 1404225796)</f>
        <v>1404225796</v>
      </c>
      <c r="F1424">
        <v>-1157.23</v>
      </c>
    </row>
    <row r="1425" spans="1:6" hidden="1" x14ac:dyDescent="0.25">
      <c r="A1425" t="s">
        <v>418</v>
      </c>
      <c r="B1425" t="s">
        <v>5</v>
      </c>
      <c r="E1425" s="3">
        <f>HYPERLINK("https://sao.dolgi.msk.ru/account/1404226668/", 1404226668)</f>
        <v>1404226668</v>
      </c>
      <c r="F1425">
        <v>-2357.44</v>
      </c>
    </row>
    <row r="1426" spans="1:6" hidden="1" x14ac:dyDescent="0.25">
      <c r="A1426" t="s">
        <v>418</v>
      </c>
      <c r="B1426" t="s">
        <v>6</v>
      </c>
      <c r="E1426" s="3">
        <f>HYPERLINK("https://sao.dolgi.msk.ru/account/1404225286/", 1404225286)</f>
        <v>1404225286</v>
      </c>
      <c r="F1426">
        <v>-2833.32</v>
      </c>
    </row>
    <row r="1427" spans="1:6" x14ac:dyDescent="0.25">
      <c r="A1427" t="s">
        <v>418</v>
      </c>
      <c r="B1427" t="s">
        <v>7</v>
      </c>
      <c r="C1427" s="5" t="str">
        <f>" кв. "&amp;B1427</f>
        <v xml:space="preserve"> кв. 3</v>
      </c>
      <c r="D1427" s="5" t="str">
        <f>CONCATENATE(A1427,C1427)</f>
        <v>Беломорская ул., дом 12 к.1 кв. 3</v>
      </c>
      <c r="E1427" s="3">
        <f>HYPERLINK("https://sao.dolgi.msk.ru/account/1404225606/", 1404225606)</f>
        <v>1404225606</v>
      </c>
      <c r="F1427">
        <v>1932.59</v>
      </c>
    </row>
    <row r="1428" spans="1:6" hidden="1" x14ac:dyDescent="0.25">
      <c r="A1428" t="s">
        <v>418</v>
      </c>
      <c r="B1428" t="s">
        <v>8</v>
      </c>
      <c r="E1428" s="3">
        <f>HYPERLINK("https://sao.dolgi.msk.ru/account/1404225649/", 1404225649)</f>
        <v>1404225649</v>
      </c>
      <c r="F1428">
        <v>-3910.28</v>
      </c>
    </row>
    <row r="1429" spans="1:6" x14ac:dyDescent="0.25">
      <c r="A1429" t="s">
        <v>418</v>
      </c>
      <c r="B1429" t="s">
        <v>9</v>
      </c>
      <c r="C1429" s="5" t="str">
        <f>" кв. "&amp;B1429</f>
        <v xml:space="preserve"> кв. 5</v>
      </c>
      <c r="D1429" s="5" t="str">
        <f>CONCATENATE(A1429,C1429)</f>
        <v>Беломорская ул., дом 12 к.1 кв. 5</v>
      </c>
      <c r="E1429" s="3">
        <f>HYPERLINK("https://sao.dolgi.msk.ru/account/1404225315/", 1404225315)</f>
        <v>1404225315</v>
      </c>
      <c r="F1429">
        <v>2707.53</v>
      </c>
    </row>
    <row r="1430" spans="1:6" hidden="1" x14ac:dyDescent="0.25">
      <c r="A1430" t="s">
        <v>418</v>
      </c>
      <c r="B1430" t="s">
        <v>10</v>
      </c>
      <c r="E1430" s="3">
        <f>HYPERLINK("https://sao.dolgi.msk.ru/account/1404224865/", 1404224865)</f>
        <v>1404224865</v>
      </c>
      <c r="F1430">
        <v>0</v>
      </c>
    </row>
    <row r="1431" spans="1:6" hidden="1" x14ac:dyDescent="0.25">
      <c r="A1431" t="s">
        <v>418</v>
      </c>
      <c r="B1431" t="s">
        <v>11</v>
      </c>
      <c r="E1431" s="3">
        <f>HYPERLINK("https://sao.dolgi.msk.ru/account/1404225446/", 1404225446)</f>
        <v>1404225446</v>
      </c>
      <c r="F1431">
        <v>-2583.35</v>
      </c>
    </row>
    <row r="1432" spans="1:6" hidden="1" x14ac:dyDescent="0.25">
      <c r="A1432" t="s">
        <v>418</v>
      </c>
      <c r="B1432" t="s">
        <v>12</v>
      </c>
      <c r="E1432" s="3">
        <f>HYPERLINK("https://sao.dolgi.msk.ru/account/1404225163/", 1404225163)</f>
        <v>1404225163</v>
      </c>
      <c r="F1432">
        <v>-1950.52</v>
      </c>
    </row>
    <row r="1433" spans="1:6" hidden="1" x14ac:dyDescent="0.25">
      <c r="A1433" t="s">
        <v>418</v>
      </c>
      <c r="B1433" t="s">
        <v>13</v>
      </c>
      <c r="E1433" s="3">
        <f>HYPERLINK("https://sao.dolgi.msk.ru/account/1404225171/", 1404225171)</f>
        <v>1404225171</v>
      </c>
      <c r="F1433">
        <v>-3956.49</v>
      </c>
    </row>
    <row r="1434" spans="1:6" hidden="1" x14ac:dyDescent="0.25">
      <c r="A1434" t="s">
        <v>418</v>
      </c>
      <c r="B1434" t="s">
        <v>14</v>
      </c>
      <c r="E1434" s="3">
        <f>HYPERLINK("https://sao.dolgi.msk.ru/account/1404225876/", 1404225876)</f>
        <v>1404225876</v>
      </c>
      <c r="F1434">
        <v>-1721.89</v>
      </c>
    </row>
    <row r="1435" spans="1:6" hidden="1" x14ac:dyDescent="0.25">
      <c r="A1435" t="s">
        <v>418</v>
      </c>
      <c r="B1435" t="s">
        <v>15</v>
      </c>
      <c r="E1435" s="3">
        <f>HYPERLINK("https://sao.dolgi.msk.ru/account/1404224881/", 1404224881)</f>
        <v>1404224881</v>
      </c>
      <c r="F1435">
        <v>-2833.32</v>
      </c>
    </row>
    <row r="1436" spans="1:6" hidden="1" x14ac:dyDescent="0.25">
      <c r="A1436" t="s">
        <v>418</v>
      </c>
      <c r="B1436" t="s">
        <v>16</v>
      </c>
      <c r="E1436" s="3">
        <f>HYPERLINK("https://sao.dolgi.msk.ru/account/1404226211/", 1404226211)</f>
        <v>1404226211</v>
      </c>
      <c r="F1436">
        <v>-3293.1</v>
      </c>
    </row>
    <row r="1437" spans="1:6" hidden="1" x14ac:dyDescent="0.25">
      <c r="A1437" t="s">
        <v>418</v>
      </c>
      <c r="B1437" t="s">
        <v>17</v>
      </c>
      <c r="E1437" s="3">
        <f>HYPERLINK("https://sao.dolgi.msk.ru/account/1404226684/", 1404226684)</f>
        <v>1404226684</v>
      </c>
      <c r="F1437">
        <v>-3970.36</v>
      </c>
    </row>
    <row r="1438" spans="1:6" hidden="1" x14ac:dyDescent="0.25">
      <c r="A1438" t="s">
        <v>418</v>
      </c>
      <c r="B1438" t="s">
        <v>18</v>
      </c>
      <c r="E1438" s="3">
        <f>HYPERLINK("https://sao.dolgi.msk.ru/account/1404226238/", 1404226238)</f>
        <v>1404226238</v>
      </c>
      <c r="F1438">
        <v>0</v>
      </c>
    </row>
    <row r="1439" spans="1:6" hidden="1" x14ac:dyDescent="0.25">
      <c r="A1439" t="s">
        <v>418</v>
      </c>
      <c r="B1439" t="s">
        <v>19</v>
      </c>
      <c r="E1439" s="3">
        <f>HYPERLINK("https://sao.dolgi.msk.ru/account/1404225905/", 1404225905)</f>
        <v>1404225905</v>
      </c>
      <c r="F1439">
        <v>-2824.09</v>
      </c>
    </row>
    <row r="1440" spans="1:6" x14ac:dyDescent="0.25">
      <c r="A1440" t="s">
        <v>418</v>
      </c>
      <c r="B1440" t="s">
        <v>20</v>
      </c>
      <c r="C1440" s="5" t="str">
        <f>" кв. "&amp;B1440</f>
        <v xml:space="preserve"> кв. 16</v>
      </c>
      <c r="D1440" s="5" t="str">
        <f>CONCATENATE(A1440,C1440)</f>
        <v>Беломорская ул., дом 12 к.1 кв. 16</v>
      </c>
      <c r="E1440" s="3">
        <f>HYPERLINK("https://sao.dolgi.msk.ru/account/1404224929/", 1404224929)</f>
        <v>1404224929</v>
      </c>
      <c r="F1440">
        <v>1336.37</v>
      </c>
    </row>
    <row r="1441" spans="1:6" hidden="1" x14ac:dyDescent="0.25">
      <c r="A1441" t="s">
        <v>418</v>
      </c>
      <c r="B1441" t="s">
        <v>21</v>
      </c>
      <c r="E1441" s="3">
        <f>HYPERLINK("https://sao.dolgi.msk.ru/account/1404225198/", 1404225198)</f>
        <v>1404225198</v>
      </c>
      <c r="F1441">
        <v>0</v>
      </c>
    </row>
    <row r="1442" spans="1:6" hidden="1" x14ac:dyDescent="0.25">
      <c r="A1442" t="s">
        <v>418</v>
      </c>
      <c r="B1442" t="s">
        <v>22</v>
      </c>
      <c r="E1442" s="3">
        <f>HYPERLINK("https://sao.dolgi.msk.ru/account/1404226254/", 1404226254)</f>
        <v>1404226254</v>
      </c>
      <c r="F1442">
        <v>-2833.32</v>
      </c>
    </row>
    <row r="1443" spans="1:6" hidden="1" x14ac:dyDescent="0.25">
      <c r="A1443" t="s">
        <v>418</v>
      </c>
      <c r="B1443" t="s">
        <v>23</v>
      </c>
      <c r="E1443" s="3">
        <f>HYPERLINK("https://sao.dolgi.msk.ru/account/1404226406/", 1404226406)</f>
        <v>1404226406</v>
      </c>
      <c r="F1443">
        <v>-2833.32</v>
      </c>
    </row>
    <row r="1444" spans="1:6" hidden="1" x14ac:dyDescent="0.25">
      <c r="A1444" t="s">
        <v>418</v>
      </c>
      <c r="B1444" t="s">
        <v>24</v>
      </c>
      <c r="E1444" s="3">
        <f>HYPERLINK("https://sao.dolgi.msk.ru/account/1404225657/", 1404225657)</f>
        <v>1404225657</v>
      </c>
      <c r="F1444">
        <v>-3910.28</v>
      </c>
    </row>
    <row r="1445" spans="1:6" hidden="1" x14ac:dyDescent="0.25">
      <c r="A1445" t="s">
        <v>418</v>
      </c>
      <c r="B1445" t="s">
        <v>25</v>
      </c>
      <c r="E1445" s="3">
        <f>HYPERLINK("https://sao.dolgi.msk.ru/account/1404224785/", 1404224785)</f>
        <v>1404224785</v>
      </c>
      <c r="F1445">
        <v>-2303.79</v>
      </c>
    </row>
    <row r="1446" spans="1:6" hidden="1" x14ac:dyDescent="0.25">
      <c r="A1446" t="s">
        <v>418</v>
      </c>
      <c r="B1446" t="s">
        <v>26</v>
      </c>
      <c r="E1446" s="3">
        <f>HYPERLINK("https://sao.dolgi.msk.ru/account/1404224988/", 1404224988)</f>
        <v>1404224988</v>
      </c>
      <c r="F1446">
        <v>-2851.81</v>
      </c>
    </row>
    <row r="1447" spans="1:6" hidden="1" x14ac:dyDescent="0.25">
      <c r="A1447" t="s">
        <v>418</v>
      </c>
      <c r="B1447" t="s">
        <v>27</v>
      </c>
      <c r="E1447" s="3">
        <f>HYPERLINK("https://sao.dolgi.msk.ru/account/1404226764/", 1404226764)</f>
        <v>1404226764</v>
      </c>
      <c r="F1447">
        <v>-2861.06</v>
      </c>
    </row>
    <row r="1448" spans="1:6" hidden="1" x14ac:dyDescent="0.25">
      <c r="A1448" t="s">
        <v>418</v>
      </c>
      <c r="B1448" t="s">
        <v>28</v>
      </c>
      <c r="E1448" s="3">
        <f>HYPERLINK("https://sao.dolgi.msk.ru/account/1404226051/", 1404226051)</f>
        <v>1404226051</v>
      </c>
      <c r="F1448">
        <v>0</v>
      </c>
    </row>
    <row r="1449" spans="1:6" hidden="1" x14ac:dyDescent="0.25">
      <c r="A1449" t="s">
        <v>418</v>
      </c>
      <c r="B1449" t="s">
        <v>29</v>
      </c>
      <c r="E1449" s="3">
        <f>HYPERLINK("https://sao.dolgi.msk.ru/account/1404226449/", 1404226449)</f>
        <v>1404226449</v>
      </c>
      <c r="F1449">
        <v>-2698.92</v>
      </c>
    </row>
    <row r="1450" spans="1:6" hidden="1" x14ac:dyDescent="0.25">
      <c r="A1450" t="s">
        <v>418</v>
      </c>
      <c r="B1450" t="s">
        <v>30</v>
      </c>
      <c r="E1450" s="3">
        <f>HYPERLINK("https://sao.dolgi.msk.ru/account/1404225497/", 1404225497)</f>
        <v>1404225497</v>
      </c>
      <c r="F1450">
        <v>0</v>
      </c>
    </row>
    <row r="1451" spans="1:6" hidden="1" x14ac:dyDescent="0.25">
      <c r="A1451" t="s">
        <v>418</v>
      </c>
      <c r="B1451" t="s">
        <v>31</v>
      </c>
      <c r="E1451" s="3">
        <f>HYPERLINK("https://sao.dolgi.msk.ru/account/1404226158/", 1404226158)</f>
        <v>1404226158</v>
      </c>
      <c r="F1451">
        <v>0</v>
      </c>
    </row>
    <row r="1452" spans="1:6" hidden="1" x14ac:dyDescent="0.25">
      <c r="A1452" t="s">
        <v>418</v>
      </c>
      <c r="B1452" t="s">
        <v>32</v>
      </c>
      <c r="E1452" s="3">
        <f>HYPERLINK("https://sao.dolgi.msk.ru/account/1404224574/", 1404224574)</f>
        <v>1404224574</v>
      </c>
      <c r="F1452">
        <v>-6586.18</v>
      </c>
    </row>
    <row r="1453" spans="1:6" hidden="1" x14ac:dyDescent="0.25">
      <c r="A1453" t="s">
        <v>418</v>
      </c>
      <c r="B1453" t="s">
        <v>33</v>
      </c>
      <c r="E1453" s="3">
        <f>HYPERLINK("https://sao.dolgi.msk.ru/account/1404225083/", 1404225083)</f>
        <v>1404225083</v>
      </c>
      <c r="F1453">
        <v>-3984.23</v>
      </c>
    </row>
    <row r="1454" spans="1:6" hidden="1" x14ac:dyDescent="0.25">
      <c r="A1454" t="s">
        <v>418</v>
      </c>
      <c r="B1454" t="s">
        <v>34</v>
      </c>
      <c r="E1454" s="3">
        <f>HYPERLINK("https://sao.dolgi.msk.ru/account/1404226553/", 1404226553)</f>
        <v>1404226553</v>
      </c>
      <c r="F1454">
        <v>-4764.46</v>
      </c>
    </row>
    <row r="1455" spans="1:6" hidden="1" x14ac:dyDescent="0.25">
      <c r="A1455" t="s">
        <v>418</v>
      </c>
      <c r="B1455" t="s">
        <v>35</v>
      </c>
      <c r="E1455" s="3">
        <f>HYPERLINK("https://sao.dolgi.msk.ru/account/1404226457/", 1404226457)</f>
        <v>1404226457</v>
      </c>
      <c r="F1455">
        <v>0</v>
      </c>
    </row>
    <row r="1456" spans="1:6" x14ac:dyDescent="0.25">
      <c r="A1456" t="s">
        <v>418</v>
      </c>
      <c r="B1456" t="s">
        <v>36</v>
      </c>
      <c r="C1456" s="5" t="str">
        <f>" кв. "&amp;B1456</f>
        <v xml:space="preserve"> кв. 32</v>
      </c>
      <c r="D1456" s="5" t="str">
        <f>CONCATENATE(A1456,C1456)</f>
        <v>Беломорская ул., дом 12 к.1 кв. 32</v>
      </c>
      <c r="E1456" s="3">
        <f>HYPERLINK("https://sao.dolgi.msk.ru/account/1404225032/", 1404225032)</f>
        <v>1404225032</v>
      </c>
      <c r="F1456">
        <v>2675.9</v>
      </c>
    </row>
    <row r="1457" spans="1:6" hidden="1" x14ac:dyDescent="0.25">
      <c r="A1457" t="s">
        <v>418</v>
      </c>
      <c r="B1457" t="s">
        <v>37</v>
      </c>
      <c r="E1457" s="3">
        <f>HYPERLINK("https://sao.dolgi.msk.ru/account/1404226692/", 1404226692)</f>
        <v>1404226692</v>
      </c>
      <c r="F1457">
        <v>-3974.98</v>
      </c>
    </row>
    <row r="1458" spans="1:6" x14ac:dyDescent="0.25">
      <c r="A1458" t="s">
        <v>418</v>
      </c>
      <c r="B1458" t="s">
        <v>38</v>
      </c>
      <c r="C1458" s="5" t="str">
        <f t="shared" ref="C1458:C1459" si="65">" кв. "&amp;B1458</f>
        <v xml:space="preserve"> кв. 34</v>
      </c>
      <c r="D1458" s="5" t="str">
        <f>CONCATENATE(A1458,C1458)</f>
        <v>Беломорская ул., дом 12 к.1 кв. 34</v>
      </c>
      <c r="E1458" s="3">
        <f>HYPERLINK("https://sao.dolgi.msk.ru/account/1404225155/", 1404225155)</f>
        <v>1404225155</v>
      </c>
      <c r="F1458">
        <v>1964.22</v>
      </c>
    </row>
    <row r="1459" spans="1:6" x14ac:dyDescent="0.25">
      <c r="A1459" t="s">
        <v>418</v>
      </c>
      <c r="B1459" t="s">
        <v>39</v>
      </c>
      <c r="C1459" s="5" t="str">
        <f t="shared" si="65"/>
        <v xml:space="preserve"> кв. 35</v>
      </c>
      <c r="D1459" s="5" t="str">
        <f>CONCATENATE(A1459,C1459)</f>
        <v>Беломорская ул., дом 12 к.1 кв. 35</v>
      </c>
      <c r="E1459" s="3">
        <f>HYPERLINK("https://sao.dolgi.msk.ru/account/1404226174/", 1404226174)</f>
        <v>1404226174</v>
      </c>
      <c r="F1459">
        <v>1961.06</v>
      </c>
    </row>
    <row r="1460" spans="1:6" hidden="1" x14ac:dyDescent="0.25">
      <c r="A1460" t="s">
        <v>418</v>
      </c>
      <c r="B1460" t="s">
        <v>40</v>
      </c>
      <c r="E1460" s="3">
        <f>HYPERLINK("https://sao.dolgi.msk.ru/account/1404226377/", 1404226377)</f>
        <v>1404226377</v>
      </c>
      <c r="F1460">
        <v>-6586.18</v>
      </c>
    </row>
    <row r="1461" spans="1:6" x14ac:dyDescent="0.25">
      <c r="A1461" t="s">
        <v>418</v>
      </c>
      <c r="B1461" t="s">
        <v>41</v>
      </c>
      <c r="C1461" s="5" t="str">
        <f>" кв. "&amp;B1461</f>
        <v xml:space="preserve"> кв. 37</v>
      </c>
      <c r="D1461" s="5" t="str">
        <f>CONCATENATE(A1461,C1461)</f>
        <v>Беломорская ул., дом 12 к.1 кв. 37</v>
      </c>
      <c r="E1461" s="3">
        <f>HYPERLINK("https://sao.dolgi.msk.ru/account/1404225489/", 1404225489)</f>
        <v>1404225489</v>
      </c>
      <c r="F1461">
        <v>2726.51</v>
      </c>
    </row>
    <row r="1462" spans="1:6" hidden="1" x14ac:dyDescent="0.25">
      <c r="A1462" t="s">
        <v>418</v>
      </c>
      <c r="B1462" t="s">
        <v>42</v>
      </c>
      <c r="E1462" s="3">
        <f>HYPERLINK("https://sao.dolgi.msk.ru/account/1404226246/", 1404226246)</f>
        <v>1404226246</v>
      </c>
      <c r="F1462">
        <v>-2856.43</v>
      </c>
    </row>
    <row r="1463" spans="1:6" hidden="1" x14ac:dyDescent="0.25">
      <c r="A1463" t="s">
        <v>418</v>
      </c>
      <c r="B1463" t="s">
        <v>43</v>
      </c>
      <c r="E1463" s="3">
        <f>HYPERLINK("https://sao.dolgi.msk.ru/account/1404224806/", 1404224806)</f>
        <v>1404224806</v>
      </c>
      <c r="F1463">
        <v>-2635.28</v>
      </c>
    </row>
    <row r="1464" spans="1:6" hidden="1" x14ac:dyDescent="0.25">
      <c r="A1464" t="s">
        <v>418</v>
      </c>
      <c r="B1464" t="s">
        <v>44</v>
      </c>
      <c r="E1464" s="3">
        <f>HYPERLINK("https://sao.dolgi.msk.ru/account/1404226203/", 1404226203)</f>
        <v>1404226203</v>
      </c>
      <c r="F1464">
        <v>-3914.9</v>
      </c>
    </row>
    <row r="1465" spans="1:6" hidden="1" x14ac:dyDescent="0.25">
      <c r="A1465" t="s">
        <v>418</v>
      </c>
      <c r="B1465" t="s">
        <v>45</v>
      </c>
      <c r="E1465" s="3">
        <f>HYPERLINK("https://sao.dolgi.msk.ru/account/1404225809/", 1404225809)</f>
        <v>1404225809</v>
      </c>
      <c r="F1465">
        <v>0</v>
      </c>
    </row>
    <row r="1466" spans="1:6" x14ac:dyDescent="0.25">
      <c r="A1466" t="s">
        <v>418</v>
      </c>
      <c r="B1466" t="s">
        <v>46</v>
      </c>
      <c r="C1466" s="5" t="str">
        <f>" кв. "&amp;B1466</f>
        <v xml:space="preserve"> кв. 42</v>
      </c>
      <c r="D1466" s="5" t="str">
        <f>CONCATENATE(A1466,C1466)</f>
        <v>Беломорская ул., дом 12 к.1 кв. 42</v>
      </c>
      <c r="E1466" s="3">
        <f>HYPERLINK("https://sao.dolgi.msk.ru/account/1404225358/", 1404225358)</f>
        <v>1404225358</v>
      </c>
      <c r="F1466">
        <v>1964.22</v>
      </c>
    </row>
    <row r="1467" spans="1:6" hidden="1" x14ac:dyDescent="0.25">
      <c r="A1467" t="s">
        <v>418</v>
      </c>
      <c r="B1467" t="s">
        <v>47</v>
      </c>
      <c r="E1467" s="3">
        <f>HYPERLINK("https://sao.dolgi.msk.ru/account/1404226633/", 1404226633)</f>
        <v>1404226633</v>
      </c>
      <c r="F1467">
        <v>-1956.09</v>
      </c>
    </row>
    <row r="1468" spans="1:6" hidden="1" x14ac:dyDescent="0.25">
      <c r="A1468" t="s">
        <v>418</v>
      </c>
      <c r="B1468" t="s">
        <v>48</v>
      </c>
      <c r="E1468" s="3">
        <f>HYPERLINK("https://sao.dolgi.msk.ru/account/1404226473/", 1404226473)</f>
        <v>1404226473</v>
      </c>
      <c r="F1468">
        <v>-3009.93</v>
      </c>
    </row>
    <row r="1469" spans="1:6" x14ac:dyDescent="0.25">
      <c r="A1469" t="s">
        <v>418</v>
      </c>
      <c r="B1469" t="s">
        <v>49</v>
      </c>
      <c r="C1469" s="5" t="str">
        <f>" кв. "&amp;B1469</f>
        <v xml:space="preserve"> кв. 45</v>
      </c>
      <c r="D1469" s="5" t="str">
        <f>CONCATENATE(A1469,C1469)</f>
        <v>Беломорская ул., дом 12 к.1 кв. 45</v>
      </c>
      <c r="E1469" s="3">
        <f>HYPERLINK("https://sao.dolgi.msk.ru/account/1404226182/", 1404226182)</f>
        <v>1404226182</v>
      </c>
      <c r="F1469">
        <v>2720.18</v>
      </c>
    </row>
    <row r="1470" spans="1:6" hidden="1" x14ac:dyDescent="0.25">
      <c r="A1470" t="s">
        <v>418</v>
      </c>
      <c r="B1470" t="s">
        <v>50</v>
      </c>
      <c r="E1470" s="3">
        <f>HYPERLINK("https://sao.dolgi.msk.ru/account/1404224603/", 1404224603)</f>
        <v>1404224603</v>
      </c>
      <c r="F1470">
        <v>0</v>
      </c>
    </row>
    <row r="1471" spans="1:6" hidden="1" x14ac:dyDescent="0.25">
      <c r="A1471" t="s">
        <v>418</v>
      </c>
      <c r="B1471" t="s">
        <v>50</v>
      </c>
      <c r="E1471" s="3">
        <f>HYPERLINK("https://sao.dolgi.msk.ru/account/1404224857/", 1404224857)</f>
        <v>1404224857</v>
      </c>
      <c r="F1471">
        <v>0</v>
      </c>
    </row>
    <row r="1472" spans="1:6" hidden="1" x14ac:dyDescent="0.25">
      <c r="A1472" t="s">
        <v>418</v>
      </c>
      <c r="B1472" t="s">
        <v>51</v>
      </c>
      <c r="E1472" s="3">
        <f>HYPERLINK("https://sao.dolgi.msk.ru/account/1404225008/", 1404225008)</f>
        <v>1404225008</v>
      </c>
      <c r="F1472">
        <v>-2851.81</v>
      </c>
    </row>
    <row r="1473" spans="1:6" hidden="1" x14ac:dyDescent="0.25">
      <c r="A1473" t="s">
        <v>418</v>
      </c>
      <c r="B1473" t="s">
        <v>52</v>
      </c>
      <c r="E1473" s="3">
        <f>HYPERLINK("https://sao.dolgi.msk.ru/account/1404225307/", 1404225307)</f>
        <v>1404225307</v>
      </c>
      <c r="F1473">
        <v>-3924.13</v>
      </c>
    </row>
    <row r="1474" spans="1:6" hidden="1" x14ac:dyDescent="0.25">
      <c r="A1474" t="s">
        <v>418</v>
      </c>
      <c r="B1474" t="s">
        <v>53</v>
      </c>
      <c r="E1474" s="3">
        <f>HYPERLINK("https://sao.dolgi.msk.ru/account/1404225251/", 1404225251)</f>
        <v>1404225251</v>
      </c>
      <c r="F1474">
        <v>-2691.14</v>
      </c>
    </row>
    <row r="1475" spans="1:6" hidden="1" x14ac:dyDescent="0.25">
      <c r="A1475" t="s">
        <v>418</v>
      </c>
      <c r="B1475" t="s">
        <v>54</v>
      </c>
      <c r="E1475" s="3">
        <f>HYPERLINK("https://sao.dolgi.msk.ru/account/1404225913/", 1404225913)</f>
        <v>1404225913</v>
      </c>
      <c r="F1475">
        <v>0</v>
      </c>
    </row>
    <row r="1476" spans="1:6" hidden="1" x14ac:dyDescent="0.25">
      <c r="A1476" t="s">
        <v>418</v>
      </c>
      <c r="B1476" t="s">
        <v>55</v>
      </c>
      <c r="E1476" s="3">
        <f>HYPERLINK("https://sao.dolgi.msk.ru/account/1404225665/", 1404225665)</f>
        <v>1404225665</v>
      </c>
      <c r="F1476">
        <v>-2861.06</v>
      </c>
    </row>
    <row r="1477" spans="1:6" hidden="1" x14ac:dyDescent="0.25">
      <c r="A1477" t="s">
        <v>418</v>
      </c>
      <c r="B1477" t="s">
        <v>56</v>
      </c>
      <c r="E1477" s="3">
        <f>HYPERLINK("https://sao.dolgi.msk.ru/account/1404225374/", 1404225374)</f>
        <v>1404225374</v>
      </c>
      <c r="F1477">
        <v>-3914.9</v>
      </c>
    </row>
    <row r="1478" spans="1:6" hidden="1" x14ac:dyDescent="0.25">
      <c r="A1478" t="s">
        <v>418</v>
      </c>
      <c r="B1478" t="s">
        <v>57</v>
      </c>
      <c r="E1478" s="3">
        <f>HYPERLINK("https://sao.dolgi.msk.ru/account/1404224654/", 1404224654)</f>
        <v>1404224654</v>
      </c>
      <c r="F1478">
        <v>0</v>
      </c>
    </row>
    <row r="1479" spans="1:6" hidden="1" x14ac:dyDescent="0.25">
      <c r="A1479" t="s">
        <v>418</v>
      </c>
      <c r="B1479" t="s">
        <v>58</v>
      </c>
      <c r="E1479" s="3">
        <f>HYPERLINK("https://sao.dolgi.msk.ru/account/1404224814/", 1404224814)</f>
        <v>1404224814</v>
      </c>
      <c r="F1479">
        <v>-2098.42</v>
      </c>
    </row>
    <row r="1480" spans="1:6" hidden="1" x14ac:dyDescent="0.25">
      <c r="A1480" t="s">
        <v>418</v>
      </c>
      <c r="B1480" t="s">
        <v>59</v>
      </c>
      <c r="E1480" s="3">
        <f>HYPERLINK("https://sao.dolgi.msk.ru/account/1404226094/", 1404226094)</f>
        <v>1404226094</v>
      </c>
      <c r="F1480">
        <v>-2413.36</v>
      </c>
    </row>
    <row r="1481" spans="1:6" hidden="1" x14ac:dyDescent="0.25">
      <c r="A1481" t="s">
        <v>418</v>
      </c>
      <c r="B1481" t="s">
        <v>60</v>
      </c>
      <c r="E1481" s="3">
        <f>HYPERLINK("https://sao.dolgi.msk.ru/account/1404225673/", 1404225673)</f>
        <v>1404225673</v>
      </c>
      <c r="F1481">
        <v>-3300.86</v>
      </c>
    </row>
    <row r="1482" spans="1:6" hidden="1" x14ac:dyDescent="0.25">
      <c r="A1482" t="s">
        <v>418</v>
      </c>
      <c r="B1482" t="s">
        <v>61</v>
      </c>
      <c r="E1482" s="3">
        <f>HYPERLINK("https://sao.dolgi.msk.ru/account/1404225382/", 1404225382)</f>
        <v>1404225382</v>
      </c>
      <c r="F1482">
        <v>-3979.6</v>
      </c>
    </row>
    <row r="1483" spans="1:6" hidden="1" x14ac:dyDescent="0.25">
      <c r="A1483" t="s">
        <v>418</v>
      </c>
      <c r="B1483" t="s">
        <v>62</v>
      </c>
      <c r="E1483" s="3">
        <f>HYPERLINK("https://sao.dolgi.msk.ru/account/1404226529/", 1404226529)</f>
        <v>1404226529</v>
      </c>
      <c r="F1483">
        <v>-906.08</v>
      </c>
    </row>
    <row r="1484" spans="1:6" hidden="1" x14ac:dyDescent="0.25">
      <c r="A1484" t="s">
        <v>418</v>
      </c>
      <c r="B1484" t="s">
        <v>63</v>
      </c>
      <c r="E1484" s="3">
        <f>HYPERLINK("https://sao.dolgi.msk.ru/account/1404225147/", 1404225147)</f>
        <v>1404225147</v>
      </c>
      <c r="F1484">
        <v>-904.62</v>
      </c>
    </row>
    <row r="1485" spans="1:6" x14ac:dyDescent="0.25">
      <c r="A1485" t="s">
        <v>418</v>
      </c>
      <c r="B1485" t="s">
        <v>64</v>
      </c>
      <c r="C1485" s="5" t="str">
        <f>" кв. "&amp;B1485</f>
        <v xml:space="preserve"> кв. 60</v>
      </c>
      <c r="D1485" s="5" t="str">
        <f>CONCATENATE(A1485,C1485)</f>
        <v>Беломорская ул., дом 12 к.1 кв. 60</v>
      </c>
      <c r="E1485" s="3">
        <f>HYPERLINK("https://sao.dolgi.msk.ru/account/1404226537/", 1404226537)</f>
        <v>1404226537</v>
      </c>
      <c r="F1485">
        <v>2685.39</v>
      </c>
    </row>
    <row r="1486" spans="1:6" hidden="1" x14ac:dyDescent="0.25">
      <c r="A1486" t="s">
        <v>418</v>
      </c>
      <c r="B1486" t="s">
        <v>65</v>
      </c>
      <c r="E1486" s="3">
        <f>HYPERLINK("https://sao.dolgi.msk.ru/account/1404225059/", 1404225059)</f>
        <v>1404225059</v>
      </c>
      <c r="F1486">
        <v>0</v>
      </c>
    </row>
    <row r="1487" spans="1:6" hidden="1" x14ac:dyDescent="0.25">
      <c r="A1487" t="s">
        <v>418</v>
      </c>
      <c r="B1487" t="s">
        <v>66</v>
      </c>
      <c r="E1487" s="3">
        <f>HYPERLINK("https://sao.dolgi.msk.ru/account/1404225411/", 1404225411)</f>
        <v>1404225411</v>
      </c>
      <c r="F1487">
        <v>-2865.68</v>
      </c>
    </row>
    <row r="1488" spans="1:6" x14ac:dyDescent="0.25">
      <c r="A1488" t="s">
        <v>418</v>
      </c>
      <c r="B1488" t="s">
        <v>67</v>
      </c>
      <c r="C1488" s="5" t="str">
        <f>" кв. "&amp;B1488</f>
        <v xml:space="preserve"> кв. 63</v>
      </c>
      <c r="D1488" s="5" t="str">
        <f>CONCATENATE(A1488,C1488)</f>
        <v>Беломорская ул., дом 12 к.1 кв. 63</v>
      </c>
      <c r="E1488" s="3">
        <f>HYPERLINK("https://sao.dolgi.msk.ru/account/1404224718/", 1404224718)</f>
        <v>1404224718</v>
      </c>
      <c r="F1488">
        <v>1299.99</v>
      </c>
    </row>
    <row r="1489" spans="1:6" hidden="1" x14ac:dyDescent="0.25">
      <c r="A1489" t="s">
        <v>418</v>
      </c>
      <c r="B1489" t="s">
        <v>68</v>
      </c>
      <c r="E1489" s="3">
        <f>HYPERLINK("https://sao.dolgi.msk.ru/account/1404226107/", 1404226107)</f>
        <v>1404226107</v>
      </c>
      <c r="F1489">
        <v>-3914.88</v>
      </c>
    </row>
    <row r="1490" spans="1:6" hidden="1" x14ac:dyDescent="0.25">
      <c r="A1490" t="s">
        <v>418</v>
      </c>
      <c r="B1490" t="s">
        <v>69</v>
      </c>
      <c r="E1490" s="3">
        <f>HYPERLINK("https://sao.dolgi.msk.ru/account/1404225243/", 1404225243)</f>
        <v>1404225243</v>
      </c>
      <c r="F1490">
        <v>-3332.84</v>
      </c>
    </row>
    <row r="1491" spans="1:6" hidden="1" x14ac:dyDescent="0.25">
      <c r="A1491" t="s">
        <v>418</v>
      </c>
      <c r="B1491" t="s">
        <v>70</v>
      </c>
      <c r="E1491" s="3">
        <f>HYPERLINK("https://sao.dolgi.msk.ru/account/1404225091/", 1404225091)</f>
        <v>1404225091</v>
      </c>
      <c r="F1491">
        <v>-2865.68</v>
      </c>
    </row>
    <row r="1492" spans="1:6" x14ac:dyDescent="0.25">
      <c r="A1492" t="s">
        <v>418</v>
      </c>
      <c r="B1492" t="s">
        <v>71</v>
      </c>
      <c r="C1492" s="5" t="str">
        <f t="shared" ref="C1492:C1493" si="66">" кв. "&amp;B1492</f>
        <v xml:space="preserve"> кв. 67</v>
      </c>
      <c r="D1492" s="5" t="str">
        <f>CONCATENATE(A1492,C1492)</f>
        <v>Беломорская ул., дом 12 к.1 кв. 67</v>
      </c>
      <c r="E1492" s="3">
        <f>HYPERLINK("https://sao.dolgi.msk.ru/account/1404226115/", 1404226115)</f>
        <v>1404226115</v>
      </c>
      <c r="F1492">
        <v>1961.06</v>
      </c>
    </row>
    <row r="1493" spans="1:6" x14ac:dyDescent="0.25">
      <c r="A1493" t="s">
        <v>418</v>
      </c>
      <c r="B1493" t="s">
        <v>72</v>
      </c>
      <c r="C1493" s="5" t="str">
        <f t="shared" si="66"/>
        <v xml:space="preserve"> кв. 68</v>
      </c>
      <c r="D1493" s="5" t="str">
        <f>CONCATENATE(A1493,C1493)</f>
        <v>Беломорская ул., дом 12 к.1 кв. 68</v>
      </c>
      <c r="E1493" s="3">
        <f>HYPERLINK("https://sao.dolgi.msk.ru/account/1404224996/", 1404224996)</f>
        <v>1404224996</v>
      </c>
      <c r="F1493">
        <v>2679.06</v>
      </c>
    </row>
    <row r="1494" spans="1:6" hidden="1" x14ac:dyDescent="0.25">
      <c r="A1494" t="s">
        <v>418</v>
      </c>
      <c r="B1494" t="s">
        <v>73</v>
      </c>
      <c r="E1494" s="3">
        <f>HYPERLINK("https://sao.dolgi.msk.ru/account/1404225104/", 1404225104)</f>
        <v>1404225104</v>
      </c>
      <c r="F1494">
        <v>-3984.85</v>
      </c>
    </row>
    <row r="1495" spans="1:6" hidden="1" x14ac:dyDescent="0.25">
      <c r="A1495" t="s">
        <v>418</v>
      </c>
      <c r="B1495" t="s">
        <v>74</v>
      </c>
      <c r="E1495" s="3">
        <f>HYPERLINK("https://sao.dolgi.msk.ru/account/1404225999/", 1404225999)</f>
        <v>1404225999</v>
      </c>
      <c r="F1495">
        <v>-1018.06</v>
      </c>
    </row>
    <row r="1496" spans="1:6" hidden="1" x14ac:dyDescent="0.25">
      <c r="A1496" t="s">
        <v>418</v>
      </c>
      <c r="B1496" t="s">
        <v>74</v>
      </c>
      <c r="E1496" s="3">
        <f>HYPERLINK("https://sao.dolgi.msk.ru/account/1404226123/", 1404226123)</f>
        <v>1404226123</v>
      </c>
      <c r="F1496">
        <v>-478.37</v>
      </c>
    </row>
    <row r="1497" spans="1:6" hidden="1" x14ac:dyDescent="0.25">
      <c r="A1497" t="s">
        <v>418</v>
      </c>
      <c r="B1497" t="s">
        <v>75</v>
      </c>
      <c r="E1497" s="3">
        <f>HYPERLINK("https://sao.dolgi.msk.ru/account/1404225884/", 1404225884)</f>
        <v>1404225884</v>
      </c>
      <c r="F1497">
        <v>-1770.93</v>
      </c>
    </row>
    <row r="1498" spans="1:6" x14ac:dyDescent="0.25">
      <c r="A1498" t="s">
        <v>418</v>
      </c>
      <c r="B1498" t="s">
        <v>76</v>
      </c>
      <c r="C1498" s="5" t="str">
        <f t="shared" ref="C1498:C1499" si="67">" кв. "&amp;B1498</f>
        <v xml:space="preserve"> кв. 72</v>
      </c>
      <c r="D1498" s="5" t="str">
        <f>CONCATENATE(A1498,C1498)</f>
        <v>Беломорская ул., дом 12 к.1 кв. 72</v>
      </c>
      <c r="E1498" s="3">
        <f>HYPERLINK("https://sao.dolgi.msk.ru/account/1404224849/", 1404224849)</f>
        <v>1404224849</v>
      </c>
      <c r="F1498">
        <v>2685.39</v>
      </c>
    </row>
    <row r="1499" spans="1:6" x14ac:dyDescent="0.25">
      <c r="A1499" t="s">
        <v>418</v>
      </c>
      <c r="B1499" t="s">
        <v>77</v>
      </c>
      <c r="C1499" s="5" t="str">
        <f t="shared" si="67"/>
        <v xml:space="preserve"> кв. 73</v>
      </c>
      <c r="D1499" s="5" t="str">
        <f>CONCATENATE(A1499,C1499)</f>
        <v>Беломорская ул., дом 12 к.1 кв. 73</v>
      </c>
      <c r="E1499" s="3">
        <f>HYPERLINK("https://sao.dolgi.msk.ru/account/1404224697/", 1404224697)</f>
        <v>1404224697</v>
      </c>
      <c r="F1499">
        <v>2723.34</v>
      </c>
    </row>
    <row r="1500" spans="1:6" hidden="1" x14ac:dyDescent="0.25">
      <c r="A1500" t="s">
        <v>418</v>
      </c>
      <c r="B1500" t="s">
        <v>78</v>
      </c>
      <c r="E1500" s="3">
        <f>HYPERLINK("https://sao.dolgi.msk.ru/account/1404225219/", 1404225219)</f>
        <v>1404225219</v>
      </c>
      <c r="F1500">
        <v>-1428.2</v>
      </c>
    </row>
    <row r="1501" spans="1:6" hidden="1" x14ac:dyDescent="0.25">
      <c r="A1501" t="s">
        <v>418</v>
      </c>
      <c r="B1501" t="s">
        <v>79</v>
      </c>
      <c r="E1501" s="3">
        <f>HYPERLINK("https://sao.dolgi.msk.ru/account/1404224937/", 1404224937)</f>
        <v>1404224937</v>
      </c>
      <c r="F1501">
        <v>-2861.06</v>
      </c>
    </row>
    <row r="1502" spans="1:6" x14ac:dyDescent="0.25">
      <c r="A1502" t="s">
        <v>418</v>
      </c>
      <c r="B1502" t="s">
        <v>80</v>
      </c>
      <c r="C1502" s="5" t="str">
        <f>" кв. "&amp;B1502</f>
        <v xml:space="preserve"> кв. 76</v>
      </c>
      <c r="D1502" s="5" t="str">
        <f>CONCATENATE(A1502,C1502)</f>
        <v>Беломорская ул., дом 12 к.1 кв. 76</v>
      </c>
      <c r="E1502" s="3">
        <f>HYPERLINK("https://sao.dolgi.msk.ru/account/1404225235/", 1404225235)</f>
        <v>1404225235</v>
      </c>
      <c r="F1502">
        <v>2682.22</v>
      </c>
    </row>
    <row r="1503" spans="1:6" hidden="1" x14ac:dyDescent="0.25">
      <c r="A1503" t="s">
        <v>418</v>
      </c>
      <c r="B1503" t="s">
        <v>81</v>
      </c>
      <c r="E1503" s="3">
        <f>HYPERLINK("https://sao.dolgi.msk.ru/account/1404226596/", 1404226596)</f>
        <v>1404226596</v>
      </c>
      <c r="F1503">
        <v>-1989.81</v>
      </c>
    </row>
    <row r="1504" spans="1:6" hidden="1" x14ac:dyDescent="0.25">
      <c r="A1504" t="s">
        <v>418</v>
      </c>
      <c r="B1504" t="s">
        <v>82</v>
      </c>
      <c r="E1504" s="3">
        <f>HYPERLINK("https://sao.dolgi.msk.ru/account/1404224742/", 1404224742)</f>
        <v>1404224742</v>
      </c>
      <c r="F1504">
        <v>0</v>
      </c>
    </row>
    <row r="1505" spans="1:6" hidden="1" x14ac:dyDescent="0.25">
      <c r="A1505" t="s">
        <v>418</v>
      </c>
      <c r="B1505" t="s">
        <v>83</v>
      </c>
      <c r="E1505" s="3">
        <f>HYPERLINK("https://sao.dolgi.msk.ru/account/1404226019/", 1404226019)</f>
        <v>1404226019</v>
      </c>
      <c r="F1505">
        <v>-904.62</v>
      </c>
    </row>
    <row r="1506" spans="1:6" hidden="1" x14ac:dyDescent="0.25">
      <c r="A1506" t="s">
        <v>418</v>
      </c>
      <c r="B1506" t="s">
        <v>84</v>
      </c>
      <c r="E1506" s="3">
        <f>HYPERLINK("https://sao.dolgi.msk.ru/account/1404225622/", 1404225622)</f>
        <v>1404225622</v>
      </c>
      <c r="F1506">
        <v>0</v>
      </c>
    </row>
    <row r="1507" spans="1:6" x14ac:dyDescent="0.25">
      <c r="A1507" t="s">
        <v>418</v>
      </c>
      <c r="B1507" t="s">
        <v>85</v>
      </c>
      <c r="C1507" s="5" t="str">
        <f>" кв. "&amp;B1507</f>
        <v xml:space="preserve"> кв. 81</v>
      </c>
      <c r="D1507" s="5" t="str">
        <f>CONCATENATE(A1507,C1507)</f>
        <v>Беломорская ул., дом 12 к.1 кв. 81</v>
      </c>
      <c r="E1507" s="3">
        <f>HYPERLINK("https://sao.dolgi.msk.ru/account/1404224961/", 1404224961)</f>
        <v>1404224961</v>
      </c>
      <c r="F1507">
        <v>2717.02</v>
      </c>
    </row>
    <row r="1508" spans="1:6" hidden="1" x14ac:dyDescent="0.25">
      <c r="A1508" t="s">
        <v>418</v>
      </c>
      <c r="B1508" t="s">
        <v>86</v>
      </c>
      <c r="E1508" s="3">
        <f>HYPERLINK("https://sao.dolgi.msk.ru/account/1404225067/", 1404225067)</f>
        <v>1404225067</v>
      </c>
      <c r="F1508">
        <v>-2865.68</v>
      </c>
    </row>
    <row r="1509" spans="1:6" hidden="1" x14ac:dyDescent="0.25">
      <c r="A1509" t="s">
        <v>418</v>
      </c>
      <c r="B1509" t="s">
        <v>87</v>
      </c>
      <c r="E1509" s="3">
        <f>HYPERLINK("https://sao.dolgi.msk.ru/account/1404225614/", 1404225614)</f>
        <v>1404225614</v>
      </c>
      <c r="F1509">
        <v>-1956.09</v>
      </c>
    </row>
    <row r="1510" spans="1:6" x14ac:dyDescent="0.25">
      <c r="A1510" t="s">
        <v>418</v>
      </c>
      <c r="B1510" t="s">
        <v>88</v>
      </c>
      <c r="C1510" s="5" t="str">
        <f>" кв. "&amp;B1510</f>
        <v xml:space="preserve"> кв. 84</v>
      </c>
      <c r="D1510" s="5" t="str">
        <f>CONCATENATE(A1510,C1510)</f>
        <v>Беломорская ул., дом 12 к.1 кв. 84</v>
      </c>
      <c r="E1510" s="3">
        <f>HYPERLINK("https://sao.dolgi.msk.ru/account/1404226545/", 1404226545)</f>
        <v>1404226545</v>
      </c>
      <c r="F1510">
        <v>2682.22</v>
      </c>
    </row>
    <row r="1511" spans="1:6" hidden="1" x14ac:dyDescent="0.25">
      <c r="A1511" t="s">
        <v>418</v>
      </c>
      <c r="B1511" t="s">
        <v>89</v>
      </c>
      <c r="E1511" s="3">
        <f>HYPERLINK("https://sao.dolgi.msk.ru/account/1404225817/", 1404225817)</f>
        <v>1404225817</v>
      </c>
      <c r="F1511">
        <v>-3979.6</v>
      </c>
    </row>
    <row r="1512" spans="1:6" x14ac:dyDescent="0.25">
      <c r="A1512" t="s">
        <v>418</v>
      </c>
      <c r="B1512" t="s">
        <v>90</v>
      </c>
      <c r="C1512" s="5" t="str">
        <f>" кв. "&amp;B1512</f>
        <v xml:space="preserve"> кв. 86</v>
      </c>
      <c r="D1512" s="5" t="str">
        <f>CONCATENATE(A1512,C1512)</f>
        <v>Беломорская ул., дом 12 к.1 кв. 86</v>
      </c>
      <c r="E1512" s="3">
        <f>HYPERLINK("https://sao.dolgi.msk.ru/account/1404224873/", 1404224873)</f>
        <v>1404224873</v>
      </c>
      <c r="F1512">
        <v>1954.73</v>
      </c>
    </row>
    <row r="1513" spans="1:6" hidden="1" x14ac:dyDescent="0.25">
      <c r="A1513" t="s">
        <v>418</v>
      </c>
      <c r="B1513" t="s">
        <v>91</v>
      </c>
      <c r="E1513" s="3">
        <f>HYPERLINK("https://sao.dolgi.msk.ru/account/1404226705/", 1404226705)</f>
        <v>1404226705</v>
      </c>
      <c r="F1513">
        <v>-2379.56</v>
      </c>
    </row>
    <row r="1514" spans="1:6" hidden="1" x14ac:dyDescent="0.25">
      <c r="A1514" t="s">
        <v>418</v>
      </c>
      <c r="B1514" t="s">
        <v>92</v>
      </c>
      <c r="E1514" s="3">
        <f>HYPERLINK("https://sao.dolgi.msk.ru/account/1404224689/", 1404224689)</f>
        <v>1404224689</v>
      </c>
      <c r="F1514">
        <v>0</v>
      </c>
    </row>
    <row r="1515" spans="1:6" hidden="1" x14ac:dyDescent="0.25">
      <c r="A1515" t="s">
        <v>418</v>
      </c>
      <c r="B1515" t="s">
        <v>93</v>
      </c>
      <c r="E1515" s="3">
        <f>HYPERLINK("https://sao.dolgi.msk.ru/account/1404225016/", 1404225016)</f>
        <v>1404225016</v>
      </c>
      <c r="F1515">
        <v>0</v>
      </c>
    </row>
    <row r="1516" spans="1:6" hidden="1" x14ac:dyDescent="0.25">
      <c r="A1516" t="s">
        <v>418</v>
      </c>
      <c r="B1516" t="s">
        <v>94</v>
      </c>
      <c r="E1516" s="3">
        <f>HYPERLINK("https://sao.dolgi.msk.ru/account/1404225331/", 1404225331)</f>
        <v>1404225331</v>
      </c>
      <c r="F1516">
        <v>-2833.32</v>
      </c>
    </row>
    <row r="1517" spans="1:6" x14ac:dyDescent="0.25">
      <c r="A1517" t="s">
        <v>418</v>
      </c>
      <c r="B1517" t="s">
        <v>95</v>
      </c>
      <c r="C1517" s="5" t="str">
        <f>" кв. "&amp;B1517</f>
        <v xml:space="preserve"> кв. 91</v>
      </c>
      <c r="D1517" s="5" t="str">
        <f>CONCATENATE(A1517,C1517)</f>
        <v>Беломорская ул., дом 12 к.1 кв. 91</v>
      </c>
      <c r="E1517" s="3">
        <f>HYPERLINK("https://sao.dolgi.msk.ru/account/1404226561/", 1404226561)</f>
        <v>1404226561</v>
      </c>
      <c r="F1517">
        <v>1945.25</v>
      </c>
    </row>
    <row r="1518" spans="1:6" hidden="1" x14ac:dyDescent="0.25">
      <c r="A1518" t="s">
        <v>418</v>
      </c>
      <c r="B1518" t="s">
        <v>96</v>
      </c>
      <c r="E1518" s="3">
        <f>HYPERLINK("https://sao.dolgi.msk.ru/account/1404225972/", 1404225972)</f>
        <v>1404225972</v>
      </c>
      <c r="F1518">
        <v>0</v>
      </c>
    </row>
    <row r="1519" spans="1:6" hidden="1" x14ac:dyDescent="0.25">
      <c r="A1519" t="s">
        <v>418</v>
      </c>
      <c r="B1519" t="s">
        <v>97</v>
      </c>
      <c r="E1519" s="3">
        <f>HYPERLINK("https://sao.dolgi.msk.ru/account/1404225454/", 1404225454)</f>
        <v>1404225454</v>
      </c>
      <c r="F1519">
        <v>-3285.31</v>
      </c>
    </row>
    <row r="1520" spans="1:6" x14ac:dyDescent="0.25">
      <c r="A1520" t="s">
        <v>418</v>
      </c>
      <c r="B1520" t="s">
        <v>98</v>
      </c>
      <c r="C1520" s="5" t="str">
        <f t="shared" ref="C1520:C1521" si="68">" кв. "&amp;B1520</f>
        <v xml:space="preserve"> кв. 94</v>
      </c>
      <c r="D1520" s="5" t="str">
        <f>CONCATENATE(A1520,C1520)</f>
        <v>Беломорская ул., дом 12 к.1 кв. 94</v>
      </c>
      <c r="E1520" s="3">
        <f>HYPERLINK("https://sao.dolgi.msk.ru/account/1404224902/", 1404224902)</f>
        <v>1404224902</v>
      </c>
      <c r="F1520">
        <v>1935.76</v>
      </c>
    </row>
    <row r="1521" spans="1:6" x14ac:dyDescent="0.25">
      <c r="A1521" t="s">
        <v>418</v>
      </c>
      <c r="B1521" t="s">
        <v>99</v>
      </c>
      <c r="C1521" s="5" t="str">
        <f t="shared" si="68"/>
        <v xml:space="preserve"> кв. 95</v>
      </c>
      <c r="D1521" s="5" t="str">
        <f>CONCATENATE(A1521,C1521)</f>
        <v>Беломорская ул., дом 12 к.1 кв. 95</v>
      </c>
      <c r="E1521" s="3">
        <f>HYPERLINK("https://sao.dolgi.msk.ru/account/1404226588/", 1404226588)</f>
        <v>1404226588</v>
      </c>
      <c r="F1521">
        <v>1417.02</v>
      </c>
    </row>
    <row r="1522" spans="1:6" hidden="1" x14ac:dyDescent="0.25">
      <c r="A1522" t="s">
        <v>418</v>
      </c>
      <c r="B1522" t="s">
        <v>100</v>
      </c>
      <c r="E1522" s="3">
        <f>HYPERLINK("https://sao.dolgi.msk.ru/account/1404226297/", 1404226297)</f>
        <v>1404226297</v>
      </c>
      <c r="F1522">
        <v>-3956.49</v>
      </c>
    </row>
    <row r="1523" spans="1:6" hidden="1" x14ac:dyDescent="0.25">
      <c r="A1523" t="s">
        <v>418</v>
      </c>
      <c r="B1523" t="s">
        <v>101</v>
      </c>
      <c r="E1523" s="3">
        <f>HYPERLINK("https://sao.dolgi.msk.ru/account/1404226369/", 1404226369)</f>
        <v>1404226369</v>
      </c>
      <c r="F1523">
        <v>-3901.03</v>
      </c>
    </row>
    <row r="1524" spans="1:6" hidden="1" x14ac:dyDescent="0.25">
      <c r="A1524" t="s">
        <v>418</v>
      </c>
      <c r="B1524" t="s">
        <v>102</v>
      </c>
      <c r="E1524" s="3">
        <f>HYPERLINK("https://sao.dolgi.msk.ru/account/1404226385/", 1404226385)</f>
        <v>1404226385</v>
      </c>
      <c r="F1524">
        <v>-2393.91</v>
      </c>
    </row>
    <row r="1525" spans="1:6" hidden="1" x14ac:dyDescent="0.25">
      <c r="A1525" t="s">
        <v>418</v>
      </c>
      <c r="B1525" t="s">
        <v>103</v>
      </c>
      <c r="E1525" s="3">
        <f>HYPERLINK("https://sao.dolgi.msk.ru/account/1404226393/", 1404226393)</f>
        <v>1404226393</v>
      </c>
      <c r="F1525">
        <v>-2070.6799999999998</v>
      </c>
    </row>
    <row r="1526" spans="1:6" x14ac:dyDescent="0.25">
      <c r="A1526" t="s">
        <v>418</v>
      </c>
      <c r="B1526" t="s">
        <v>104</v>
      </c>
      <c r="C1526" s="5" t="str">
        <f>" кв. "&amp;B1526</f>
        <v xml:space="preserve"> кв. 100</v>
      </c>
      <c r="D1526" s="5" t="str">
        <f>CONCATENATE(A1526,C1526)</f>
        <v>Беломорская ул., дом 12 к.1 кв. 100</v>
      </c>
      <c r="E1526" s="3">
        <f>HYPERLINK("https://sao.dolgi.msk.ru/account/1404224726/", 1404224726)</f>
        <v>1404224726</v>
      </c>
      <c r="F1526">
        <v>2710.69</v>
      </c>
    </row>
    <row r="1527" spans="1:6" hidden="1" x14ac:dyDescent="0.25">
      <c r="A1527" t="s">
        <v>418</v>
      </c>
      <c r="B1527" t="s">
        <v>105</v>
      </c>
      <c r="E1527" s="3">
        <f>HYPERLINK("https://sao.dolgi.msk.ru/account/1404226035/", 1404226035)</f>
        <v>1404226035</v>
      </c>
      <c r="F1527">
        <v>-3914.9</v>
      </c>
    </row>
    <row r="1528" spans="1:6" hidden="1" x14ac:dyDescent="0.25">
      <c r="A1528" t="s">
        <v>418</v>
      </c>
      <c r="B1528" t="s">
        <v>106</v>
      </c>
      <c r="E1528" s="3">
        <f>HYPERLINK("https://sao.dolgi.msk.ru/account/1404225921/", 1404225921)</f>
        <v>1404225921</v>
      </c>
      <c r="F1528">
        <v>-4772.24</v>
      </c>
    </row>
    <row r="1529" spans="1:6" hidden="1" x14ac:dyDescent="0.25">
      <c r="A1529" t="s">
        <v>418</v>
      </c>
      <c r="B1529" t="s">
        <v>107</v>
      </c>
      <c r="E1529" s="3">
        <f>HYPERLINK("https://sao.dolgi.msk.ru/account/1404226414/", 1404226414)</f>
        <v>1404226414</v>
      </c>
      <c r="F1529">
        <v>-2833.32</v>
      </c>
    </row>
    <row r="1530" spans="1:6" hidden="1" x14ac:dyDescent="0.25">
      <c r="A1530" t="s">
        <v>418</v>
      </c>
      <c r="B1530" t="s">
        <v>108</v>
      </c>
      <c r="E1530" s="3">
        <f>HYPERLINK("https://sao.dolgi.msk.ru/account/1404225788/", 1404225788)</f>
        <v>1404225788</v>
      </c>
      <c r="F1530">
        <v>-6546.27</v>
      </c>
    </row>
    <row r="1531" spans="1:6" hidden="1" x14ac:dyDescent="0.25">
      <c r="A1531" t="s">
        <v>418</v>
      </c>
      <c r="B1531" t="s">
        <v>109</v>
      </c>
      <c r="E1531" s="3">
        <f>HYPERLINK("https://sao.dolgi.msk.ru/account/1404225956/", 1404225956)</f>
        <v>1404225956</v>
      </c>
      <c r="F1531">
        <v>0</v>
      </c>
    </row>
    <row r="1532" spans="1:6" x14ac:dyDescent="0.25">
      <c r="A1532" t="s">
        <v>418</v>
      </c>
      <c r="B1532" t="s">
        <v>110</v>
      </c>
      <c r="C1532" s="5" t="str">
        <f t="shared" ref="C1532:C1534" si="69">" кв. "&amp;B1532</f>
        <v xml:space="preserve"> кв. 106</v>
      </c>
      <c r="D1532" s="5" t="str">
        <f>CONCATENATE(A1532,C1532)</f>
        <v>Беломорская ул., дом 12 к.1 кв. 106</v>
      </c>
      <c r="E1532" s="3">
        <f>HYPERLINK("https://sao.dolgi.msk.ru/account/1404226043/", 1404226043)</f>
        <v>1404226043</v>
      </c>
      <c r="F1532">
        <v>1942.08</v>
      </c>
    </row>
    <row r="1533" spans="1:6" x14ac:dyDescent="0.25">
      <c r="A1533" t="s">
        <v>418</v>
      </c>
      <c r="B1533" t="s">
        <v>111</v>
      </c>
      <c r="C1533" s="5" t="str">
        <f t="shared" si="69"/>
        <v xml:space="preserve"> кв. 107</v>
      </c>
      <c r="D1533" s="5" t="str">
        <f>CONCATENATE(A1533,C1533)</f>
        <v>Беломорская ул., дом 12 к.1 кв. 107</v>
      </c>
      <c r="E1533" s="3">
        <f>HYPERLINK("https://sao.dolgi.msk.ru/account/1404225729/", 1404225729)</f>
        <v>1404225729</v>
      </c>
      <c r="F1533">
        <v>1942.08</v>
      </c>
    </row>
    <row r="1534" spans="1:6" x14ac:dyDescent="0.25">
      <c r="A1534" t="s">
        <v>418</v>
      </c>
      <c r="B1534" t="s">
        <v>112</v>
      </c>
      <c r="C1534" s="5" t="str">
        <f t="shared" si="69"/>
        <v xml:space="preserve"> кв. 108</v>
      </c>
      <c r="D1534" s="5" t="str">
        <f>CONCATENATE(A1534,C1534)</f>
        <v>Беломорская ул., дом 12 к.1 кв. 108</v>
      </c>
      <c r="E1534" s="3">
        <f>HYPERLINK("https://sao.dolgi.msk.ru/account/1404225825/", 1404225825)</f>
        <v>1404225825</v>
      </c>
      <c r="F1534">
        <v>2710.69</v>
      </c>
    </row>
    <row r="1535" spans="1:6" hidden="1" x14ac:dyDescent="0.25">
      <c r="A1535" t="s">
        <v>418</v>
      </c>
      <c r="B1535" t="s">
        <v>113</v>
      </c>
      <c r="E1535" s="3">
        <f>HYPERLINK("https://sao.dolgi.msk.ru/account/1404225593/", 1404225593)</f>
        <v>1404225593</v>
      </c>
      <c r="F1535">
        <v>0</v>
      </c>
    </row>
    <row r="1536" spans="1:6" hidden="1" x14ac:dyDescent="0.25">
      <c r="A1536" t="s">
        <v>418</v>
      </c>
      <c r="B1536" t="s">
        <v>113</v>
      </c>
      <c r="E1536" s="3">
        <f>HYPERLINK("https://sao.dolgi.msk.ru/account/1404225892/", 1404225892)</f>
        <v>1404225892</v>
      </c>
      <c r="F1536">
        <v>-1303.43</v>
      </c>
    </row>
    <row r="1537" spans="1:6" hidden="1" x14ac:dyDescent="0.25">
      <c r="A1537" t="s">
        <v>418</v>
      </c>
      <c r="B1537" t="s">
        <v>114</v>
      </c>
      <c r="E1537" s="3">
        <f>HYPERLINK("https://sao.dolgi.msk.ru/account/1404226772/", 1404226772)</f>
        <v>1404226772</v>
      </c>
      <c r="F1537">
        <v>-2861.06</v>
      </c>
    </row>
    <row r="1538" spans="1:6" hidden="1" x14ac:dyDescent="0.25">
      <c r="A1538" t="s">
        <v>418</v>
      </c>
      <c r="B1538" t="s">
        <v>115</v>
      </c>
      <c r="E1538" s="3">
        <f>HYPERLINK("https://sao.dolgi.msk.ru/account/1404225753/", 1404225753)</f>
        <v>1404225753</v>
      </c>
      <c r="F1538">
        <v>-1857.66</v>
      </c>
    </row>
    <row r="1539" spans="1:6" hidden="1" x14ac:dyDescent="0.25">
      <c r="A1539" t="s">
        <v>418</v>
      </c>
      <c r="B1539" t="s">
        <v>116</v>
      </c>
      <c r="E1539" s="3">
        <f>HYPERLINK("https://sao.dolgi.msk.ru/account/1404225948/", 1404225948)</f>
        <v>1404225948</v>
      </c>
      <c r="F1539">
        <v>-3984.23</v>
      </c>
    </row>
    <row r="1540" spans="1:6" hidden="1" x14ac:dyDescent="0.25">
      <c r="A1540" t="s">
        <v>418</v>
      </c>
      <c r="B1540" t="s">
        <v>117</v>
      </c>
      <c r="E1540" s="3">
        <f>HYPERLINK("https://sao.dolgi.msk.ru/account/1404225534/", 1404225534)</f>
        <v>1404225534</v>
      </c>
      <c r="F1540">
        <v>-2749.09</v>
      </c>
    </row>
    <row r="1541" spans="1:6" hidden="1" x14ac:dyDescent="0.25">
      <c r="A1541" t="s">
        <v>418</v>
      </c>
      <c r="B1541" t="s">
        <v>117</v>
      </c>
      <c r="E1541" s="3">
        <f>HYPERLINK("https://sao.dolgi.msk.ru/account/1404226713/", 1404226713)</f>
        <v>1404226713</v>
      </c>
      <c r="F1541">
        <v>-1165.81</v>
      </c>
    </row>
    <row r="1542" spans="1:6" x14ac:dyDescent="0.25">
      <c r="A1542" t="s">
        <v>418</v>
      </c>
      <c r="B1542" t="s">
        <v>118</v>
      </c>
      <c r="C1542" s="5" t="str">
        <f t="shared" ref="C1542:C1543" si="70">" кв. "&amp;B1542</f>
        <v xml:space="preserve"> кв. 114</v>
      </c>
      <c r="D1542" s="5" t="str">
        <f>CONCATENATE(A1542,C1542)</f>
        <v>Беломорская ул., дом 12 к.1 кв. 114</v>
      </c>
      <c r="E1542" s="3">
        <f>HYPERLINK("https://sao.dolgi.msk.ru/account/1404224777/", 1404224777)</f>
        <v>1404224777</v>
      </c>
      <c r="F1542">
        <v>1961.06</v>
      </c>
    </row>
    <row r="1543" spans="1:6" x14ac:dyDescent="0.25">
      <c r="A1543" t="s">
        <v>418</v>
      </c>
      <c r="B1543" t="s">
        <v>119</v>
      </c>
      <c r="C1543" s="5" t="str">
        <f t="shared" si="70"/>
        <v xml:space="preserve"> кв. 115</v>
      </c>
      <c r="D1543" s="5" t="str">
        <f>CONCATENATE(A1543,C1543)</f>
        <v>Беломорская ул., дом 12 к.1 кв. 115</v>
      </c>
      <c r="E1543" s="3">
        <f>HYPERLINK("https://sao.dolgi.msk.ru/account/1404225438/", 1404225438)</f>
        <v>1404225438</v>
      </c>
      <c r="F1543">
        <v>1957.9</v>
      </c>
    </row>
    <row r="1544" spans="1:6" hidden="1" x14ac:dyDescent="0.25">
      <c r="A1544" t="s">
        <v>418</v>
      </c>
      <c r="B1544" t="s">
        <v>120</v>
      </c>
      <c r="E1544" s="3">
        <f>HYPERLINK("https://sao.dolgi.msk.ru/account/1404226676/", 1404226676)</f>
        <v>1404226676</v>
      </c>
      <c r="F1544">
        <v>-3979.6</v>
      </c>
    </row>
    <row r="1545" spans="1:6" hidden="1" x14ac:dyDescent="0.25">
      <c r="A1545" t="s">
        <v>418</v>
      </c>
      <c r="B1545" t="s">
        <v>121</v>
      </c>
      <c r="E1545" s="3">
        <f>HYPERLINK("https://sao.dolgi.msk.ru/account/1404226625/", 1404226625)</f>
        <v>1404226625</v>
      </c>
      <c r="F1545">
        <v>0</v>
      </c>
    </row>
    <row r="1546" spans="1:6" x14ac:dyDescent="0.25">
      <c r="A1546" t="s">
        <v>418</v>
      </c>
      <c r="B1546" t="s">
        <v>122</v>
      </c>
      <c r="C1546" s="5" t="str">
        <f>" кв. "&amp;B1546</f>
        <v xml:space="preserve"> кв. 118</v>
      </c>
      <c r="D1546" s="5" t="str">
        <f>CONCATENATE(A1546,C1546)</f>
        <v>Беломорская ул., дом 12 к.1 кв. 118</v>
      </c>
      <c r="E1546" s="3">
        <f>HYPERLINK("https://sao.dolgi.msk.ru/account/1404226422/", 1404226422)</f>
        <v>1404226422</v>
      </c>
      <c r="F1546">
        <v>1954.73</v>
      </c>
    </row>
    <row r="1547" spans="1:6" hidden="1" x14ac:dyDescent="0.25">
      <c r="A1547" t="s">
        <v>418</v>
      </c>
      <c r="B1547" t="s">
        <v>123</v>
      </c>
      <c r="E1547" s="3">
        <f>HYPERLINK("https://sao.dolgi.msk.ru/account/1404226078/", 1404226078)</f>
        <v>1404226078</v>
      </c>
      <c r="F1547">
        <v>-2388.8000000000002</v>
      </c>
    </row>
    <row r="1548" spans="1:6" hidden="1" x14ac:dyDescent="0.25">
      <c r="A1548" t="s">
        <v>418</v>
      </c>
      <c r="B1548" t="s">
        <v>124</v>
      </c>
      <c r="E1548" s="3">
        <f>HYPERLINK("https://sao.dolgi.msk.ru/account/1404226326/", 1404226326)</f>
        <v>1404226326</v>
      </c>
      <c r="F1548">
        <v>-3993.47</v>
      </c>
    </row>
    <row r="1549" spans="1:6" hidden="1" x14ac:dyDescent="0.25">
      <c r="A1549" t="s">
        <v>418</v>
      </c>
      <c r="B1549" t="s">
        <v>125</v>
      </c>
      <c r="E1549" s="3">
        <f>HYPERLINK("https://sao.dolgi.msk.ru/account/1404224953/", 1404224953)</f>
        <v>1404224953</v>
      </c>
      <c r="F1549">
        <v>-3161.49</v>
      </c>
    </row>
    <row r="1550" spans="1:6" hidden="1" x14ac:dyDescent="0.25">
      <c r="A1550" t="s">
        <v>418</v>
      </c>
      <c r="B1550" t="s">
        <v>126</v>
      </c>
      <c r="E1550" s="3">
        <f>HYPERLINK("https://sao.dolgi.msk.ru/account/1404226166/", 1404226166)</f>
        <v>1404226166</v>
      </c>
      <c r="F1550">
        <v>-2103.04</v>
      </c>
    </row>
    <row r="1551" spans="1:6" hidden="1" x14ac:dyDescent="0.25">
      <c r="A1551" t="s">
        <v>418</v>
      </c>
      <c r="B1551" t="s">
        <v>127</v>
      </c>
      <c r="E1551" s="3">
        <f>HYPERLINK("https://sao.dolgi.msk.ru/account/1404226641/", 1404226641)</f>
        <v>1404226641</v>
      </c>
      <c r="F1551">
        <v>-2057.9</v>
      </c>
    </row>
    <row r="1552" spans="1:6" hidden="1" x14ac:dyDescent="0.25">
      <c r="A1552" t="s">
        <v>418</v>
      </c>
      <c r="B1552" t="s">
        <v>128</v>
      </c>
      <c r="E1552" s="3">
        <f>HYPERLINK("https://sao.dolgi.msk.ru/account/1404226289/", 1404226289)</f>
        <v>1404226289</v>
      </c>
      <c r="F1552">
        <v>-2683.35</v>
      </c>
    </row>
    <row r="1553" spans="1:6" hidden="1" x14ac:dyDescent="0.25">
      <c r="A1553" t="s">
        <v>418</v>
      </c>
      <c r="B1553" t="s">
        <v>129</v>
      </c>
      <c r="E1553" s="3">
        <f>HYPERLINK("https://sao.dolgi.msk.ru/account/1404226617/", 1404226617)</f>
        <v>1404226617</v>
      </c>
      <c r="F1553">
        <v>-3914.9</v>
      </c>
    </row>
    <row r="1554" spans="1:6" hidden="1" x14ac:dyDescent="0.25">
      <c r="A1554" t="s">
        <v>418</v>
      </c>
      <c r="B1554" t="s">
        <v>130</v>
      </c>
      <c r="E1554" s="3">
        <f>HYPERLINK("https://sao.dolgi.msk.ru/account/1404224793/", 1404224793)</f>
        <v>1404224793</v>
      </c>
      <c r="F1554">
        <v>-1891.46</v>
      </c>
    </row>
    <row r="1555" spans="1:6" x14ac:dyDescent="0.25">
      <c r="A1555" t="s">
        <v>418</v>
      </c>
      <c r="B1555" t="s">
        <v>131</v>
      </c>
      <c r="C1555" s="5" t="str">
        <f>" кв. "&amp;B1555</f>
        <v xml:space="preserve"> кв. 127</v>
      </c>
      <c r="D1555" s="5" t="str">
        <f>CONCATENATE(A1555,C1555)</f>
        <v>Беломорская ул., дом 12 к.1 кв. 127</v>
      </c>
      <c r="E1555" s="3">
        <f>HYPERLINK("https://sao.dolgi.msk.ru/account/1404224945/", 1404224945)</f>
        <v>1404224945</v>
      </c>
      <c r="F1555">
        <v>1954.73</v>
      </c>
    </row>
    <row r="1556" spans="1:6" hidden="1" x14ac:dyDescent="0.25">
      <c r="A1556" t="s">
        <v>418</v>
      </c>
      <c r="B1556" t="s">
        <v>132</v>
      </c>
      <c r="E1556" s="3">
        <f>HYPERLINK("https://sao.dolgi.msk.ru/account/1404225964/", 1404225964)</f>
        <v>1404225964</v>
      </c>
      <c r="F1556">
        <v>-3974.97</v>
      </c>
    </row>
    <row r="1557" spans="1:6" hidden="1" x14ac:dyDescent="0.25">
      <c r="A1557" t="s">
        <v>418</v>
      </c>
      <c r="B1557" t="s">
        <v>133</v>
      </c>
      <c r="E1557" s="3">
        <f>HYPERLINK("https://sao.dolgi.msk.ru/account/1404224734/", 1404224734)</f>
        <v>1404224734</v>
      </c>
      <c r="F1557">
        <v>-2166.0700000000002</v>
      </c>
    </row>
    <row r="1558" spans="1:6" hidden="1" x14ac:dyDescent="0.25">
      <c r="A1558" t="s">
        <v>418</v>
      </c>
      <c r="B1558" t="s">
        <v>134</v>
      </c>
      <c r="E1558" s="3">
        <f>HYPERLINK("https://sao.dolgi.msk.ru/account/1404225745/", 1404225745)</f>
        <v>1404225745</v>
      </c>
      <c r="F1558">
        <v>-2409.48</v>
      </c>
    </row>
    <row r="1559" spans="1:6" x14ac:dyDescent="0.25">
      <c r="A1559" t="s">
        <v>418</v>
      </c>
      <c r="B1559" t="s">
        <v>135</v>
      </c>
      <c r="C1559" s="5" t="str">
        <f>" кв. "&amp;B1559</f>
        <v xml:space="preserve"> кв. 131</v>
      </c>
      <c r="D1559" s="5" t="str">
        <f>CONCATENATE(A1559,C1559)</f>
        <v>Беломорская ул., дом 12 к.1 кв. 131</v>
      </c>
      <c r="E1559" s="3">
        <f>HYPERLINK("https://sao.dolgi.msk.ru/account/1404226465/", 1404226465)</f>
        <v>1404226465</v>
      </c>
      <c r="F1559">
        <v>1961.06</v>
      </c>
    </row>
    <row r="1560" spans="1:6" hidden="1" x14ac:dyDescent="0.25">
      <c r="A1560" t="s">
        <v>418</v>
      </c>
      <c r="B1560" t="s">
        <v>136</v>
      </c>
      <c r="E1560" s="3">
        <f>HYPERLINK("https://sao.dolgi.msk.ru/account/1404225278/", 1404225278)</f>
        <v>1404225278</v>
      </c>
      <c r="F1560">
        <v>0</v>
      </c>
    </row>
    <row r="1561" spans="1:6" hidden="1" x14ac:dyDescent="0.25">
      <c r="A1561" t="s">
        <v>418</v>
      </c>
      <c r="B1561" t="s">
        <v>137</v>
      </c>
      <c r="E1561" s="3">
        <f>HYPERLINK("https://sao.dolgi.msk.ru/account/1404225833/", 1404225833)</f>
        <v>1404225833</v>
      </c>
      <c r="F1561">
        <v>-3910.28</v>
      </c>
    </row>
    <row r="1562" spans="1:6" hidden="1" x14ac:dyDescent="0.25">
      <c r="A1562" t="s">
        <v>418</v>
      </c>
      <c r="B1562" t="s">
        <v>138</v>
      </c>
      <c r="E1562" s="3">
        <f>HYPERLINK("https://sao.dolgi.msk.ru/account/1404225024/", 1404225024)</f>
        <v>1404225024</v>
      </c>
      <c r="F1562">
        <v>-2149.25</v>
      </c>
    </row>
    <row r="1563" spans="1:6" hidden="1" x14ac:dyDescent="0.25">
      <c r="A1563" t="s">
        <v>418</v>
      </c>
      <c r="B1563" t="s">
        <v>139</v>
      </c>
      <c r="E1563" s="3">
        <f>HYPERLINK("https://sao.dolgi.msk.ru/account/1404226481/", 1404226481)</f>
        <v>1404226481</v>
      </c>
      <c r="F1563">
        <v>-1960.71</v>
      </c>
    </row>
    <row r="1564" spans="1:6" hidden="1" x14ac:dyDescent="0.25">
      <c r="A1564" t="s">
        <v>418</v>
      </c>
      <c r="B1564" t="s">
        <v>140</v>
      </c>
      <c r="E1564" s="3">
        <f>HYPERLINK("https://sao.dolgi.msk.ru/account/1404226334/", 1404226334)</f>
        <v>1404226334</v>
      </c>
      <c r="F1564">
        <v>-1253.3399999999999</v>
      </c>
    </row>
    <row r="1565" spans="1:6" hidden="1" x14ac:dyDescent="0.25">
      <c r="A1565" t="s">
        <v>418</v>
      </c>
      <c r="B1565" t="s">
        <v>141</v>
      </c>
      <c r="E1565" s="3">
        <f>HYPERLINK("https://sao.dolgi.msk.ru/account/1404225569/", 1404225569)</f>
        <v>1404225569</v>
      </c>
      <c r="F1565">
        <v>0</v>
      </c>
    </row>
    <row r="1566" spans="1:6" hidden="1" x14ac:dyDescent="0.25">
      <c r="A1566" t="s">
        <v>418</v>
      </c>
      <c r="B1566" t="s">
        <v>142</v>
      </c>
      <c r="E1566" s="3">
        <f>HYPERLINK("https://sao.dolgi.msk.ru/account/1404225577/", 1404225577)</f>
        <v>1404225577</v>
      </c>
      <c r="F1566">
        <v>0</v>
      </c>
    </row>
    <row r="1567" spans="1:6" x14ac:dyDescent="0.25">
      <c r="A1567" t="s">
        <v>418</v>
      </c>
      <c r="B1567" t="s">
        <v>143</v>
      </c>
      <c r="C1567" s="5" t="str">
        <f>" кв. "&amp;B1567</f>
        <v xml:space="preserve"> кв. 139</v>
      </c>
      <c r="D1567" s="5" t="str">
        <f>CONCATENATE(A1567,C1567)</f>
        <v>Беломорская ул., дом 12 к.1 кв. 139</v>
      </c>
      <c r="E1567" s="3">
        <f>HYPERLINK("https://sao.dolgi.msk.ru/account/1404224611/", 1404224611)</f>
        <v>1404224611</v>
      </c>
      <c r="F1567">
        <v>1957.9</v>
      </c>
    </row>
    <row r="1568" spans="1:6" hidden="1" x14ac:dyDescent="0.25">
      <c r="A1568" t="s">
        <v>418</v>
      </c>
      <c r="B1568" t="s">
        <v>144</v>
      </c>
      <c r="E1568" s="3">
        <f>HYPERLINK("https://sao.dolgi.msk.ru/account/1404226609/", 1404226609)</f>
        <v>1404226609</v>
      </c>
      <c r="F1568">
        <v>-3984.23</v>
      </c>
    </row>
    <row r="1569" spans="1:6" hidden="1" x14ac:dyDescent="0.25">
      <c r="A1569" t="s">
        <v>418</v>
      </c>
      <c r="B1569" t="s">
        <v>145</v>
      </c>
      <c r="E1569" s="3">
        <f>HYPERLINK("https://sao.dolgi.msk.ru/account/1404226086/", 1404226086)</f>
        <v>1404226086</v>
      </c>
      <c r="F1569">
        <v>-2866.49</v>
      </c>
    </row>
    <row r="1570" spans="1:6" hidden="1" x14ac:dyDescent="0.25">
      <c r="A1570" t="s">
        <v>418</v>
      </c>
      <c r="B1570" t="s">
        <v>146</v>
      </c>
      <c r="E1570" s="3">
        <f>HYPERLINK("https://sao.dolgi.msk.ru/account/1404224638/", 1404224638)</f>
        <v>1404224638</v>
      </c>
      <c r="F1570">
        <v>-2870.3</v>
      </c>
    </row>
    <row r="1571" spans="1:6" hidden="1" x14ac:dyDescent="0.25">
      <c r="A1571" t="s">
        <v>418</v>
      </c>
      <c r="B1571" t="s">
        <v>147</v>
      </c>
      <c r="E1571" s="3">
        <f>HYPERLINK("https://sao.dolgi.msk.ru/account/1404225681/", 1404225681)</f>
        <v>1404225681</v>
      </c>
      <c r="F1571">
        <v>-1960.71</v>
      </c>
    </row>
    <row r="1572" spans="1:6" hidden="1" x14ac:dyDescent="0.25">
      <c r="A1572" t="s">
        <v>418</v>
      </c>
      <c r="B1572" t="s">
        <v>148</v>
      </c>
      <c r="E1572" s="3">
        <f>HYPERLINK("https://sao.dolgi.msk.ru/account/1404226502/", 1404226502)</f>
        <v>1404226502</v>
      </c>
      <c r="F1572">
        <v>-3979.6</v>
      </c>
    </row>
    <row r="1573" spans="1:6" hidden="1" x14ac:dyDescent="0.25">
      <c r="A1573" t="s">
        <v>418</v>
      </c>
      <c r="B1573" t="s">
        <v>149</v>
      </c>
      <c r="E1573" s="3">
        <f>HYPERLINK("https://sao.dolgi.msk.ru/account/1404225518/", 1404225518)</f>
        <v>1404225518</v>
      </c>
      <c r="F1573">
        <v>-3910.28</v>
      </c>
    </row>
    <row r="1574" spans="1:6" hidden="1" x14ac:dyDescent="0.25">
      <c r="A1574" t="s">
        <v>418</v>
      </c>
      <c r="B1574" t="s">
        <v>150</v>
      </c>
      <c r="E1574" s="3">
        <f>HYPERLINK("https://sao.dolgi.msk.ru/account/1404226262/", 1404226262)</f>
        <v>1404226262</v>
      </c>
      <c r="F1574">
        <v>-2865.68</v>
      </c>
    </row>
    <row r="1575" spans="1:6" x14ac:dyDescent="0.25">
      <c r="A1575" t="s">
        <v>418</v>
      </c>
      <c r="B1575" t="s">
        <v>151</v>
      </c>
      <c r="C1575" s="5" t="str">
        <f>" кв. "&amp;B1575</f>
        <v xml:space="preserve"> кв. 147</v>
      </c>
      <c r="D1575" s="5" t="str">
        <f>CONCATENATE(A1575,C1575)</f>
        <v>Беломорская ул., дом 12 к.1 кв. 147</v>
      </c>
      <c r="E1575" s="3">
        <f>HYPERLINK("https://sao.dolgi.msk.ru/account/1404224566/", 1404224566)</f>
        <v>1404224566</v>
      </c>
      <c r="F1575">
        <v>1961.06</v>
      </c>
    </row>
    <row r="1576" spans="1:6" hidden="1" x14ac:dyDescent="0.25">
      <c r="A1576" t="s">
        <v>418</v>
      </c>
      <c r="B1576" t="s">
        <v>152</v>
      </c>
      <c r="E1576" s="3">
        <f>HYPERLINK("https://sao.dolgi.msk.ru/account/1404225542/", 1404225542)</f>
        <v>1404225542</v>
      </c>
      <c r="F1576">
        <v>0</v>
      </c>
    </row>
    <row r="1577" spans="1:6" x14ac:dyDescent="0.25">
      <c r="A1577" t="s">
        <v>418</v>
      </c>
      <c r="B1577" t="s">
        <v>153</v>
      </c>
      <c r="C1577" s="5" t="str">
        <f t="shared" ref="C1577:C1579" si="71">" кв. "&amp;B1577</f>
        <v xml:space="preserve"> кв. 149</v>
      </c>
      <c r="D1577" s="5" t="str">
        <f>CONCATENATE(A1577,C1577)</f>
        <v>Беломорская ул., дом 12 к.1 кв. 149</v>
      </c>
      <c r="E1577" s="3">
        <f>HYPERLINK("https://sao.dolgi.msk.ru/account/1404225294/", 1404225294)</f>
        <v>1404225294</v>
      </c>
      <c r="F1577">
        <v>2682.22</v>
      </c>
    </row>
    <row r="1578" spans="1:6" x14ac:dyDescent="0.25">
      <c r="A1578" t="s">
        <v>418</v>
      </c>
      <c r="B1578" t="s">
        <v>154</v>
      </c>
      <c r="C1578" s="5" t="str">
        <f t="shared" si="71"/>
        <v xml:space="preserve"> кв. 150</v>
      </c>
      <c r="D1578" s="5" t="str">
        <f>CONCATENATE(A1578,C1578)</f>
        <v>Беломорская ул., дом 12 к.1 кв. 150</v>
      </c>
      <c r="E1578" s="3">
        <f>HYPERLINK("https://sao.dolgi.msk.ru/account/1404225403/", 1404225403)</f>
        <v>1404225403</v>
      </c>
      <c r="F1578">
        <v>1961.06</v>
      </c>
    </row>
    <row r="1579" spans="1:6" x14ac:dyDescent="0.25">
      <c r="A1579" t="s">
        <v>418</v>
      </c>
      <c r="B1579" t="s">
        <v>155</v>
      </c>
      <c r="C1579" s="5" t="str">
        <f t="shared" si="71"/>
        <v xml:space="preserve"> кв. 151</v>
      </c>
      <c r="D1579" s="5" t="str">
        <f>CONCATENATE(A1579,C1579)</f>
        <v>Беломорская ул., дом 12 к.1 кв. 151</v>
      </c>
      <c r="E1579" s="3">
        <f>HYPERLINK("https://sao.dolgi.msk.ru/account/1404225868/", 1404225868)</f>
        <v>1404225868</v>
      </c>
      <c r="F1579">
        <v>1964.22</v>
      </c>
    </row>
    <row r="1580" spans="1:6" hidden="1" x14ac:dyDescent="0.25">
      <c r="A1580" t="s">
        <v>418</v>
      </c>
      <c r="B1580" t="s">
        <v>156</v>
      </c>
      <c r="E1580" s="3">
        <f>HYPERLINK("https://sao.dolgi.msk.ru/account/1404225761/", 1404225761)</f>
        <v>1404225761</v>
      </c>
      <c r="F1580">
        <v>-3984.23</v>
      </c>
    </row>
    <row r="1581" spans="1:6" hidden="1" x14ac:dyDescent="0.25">
      <c r="A1581" t="s">
        <v>418</v>
      </c>
      <c r="B1581" t="s">
        <v>157</v>
      </c>
      <c r="E1581" s="3">
        <f>HYPERLINK("https://sao.dolgi.msk.ru/account/1404225702/", 1404225702)</f>
        <v>1404225702</v>
      </c>
      <c r="F1581">
        <v>-3919.5</v>
      </c>
    </row>
    <row r="1582" spans="1:6" hidden="1" x14ac:dyDescent="0.25">
      <c r="A1582" t="s">
        <v>418</v>
      </c>
      <c r="B1582" t="s">
        <v>158</v>
      </c>
      <c r="E1582" s="3">
        <f>HYPERLINK("https://sao.dolgi.msk.ru/account/1404225737/", 1404225737)</f>
        <v>1404225737</v>
      </c>
      <c r="F1582">
        <v>-2861.06</v>
      </c>
    </row>
    <row r="1583" spans="1:6" x14ac:dyDescent="0.25">
      <c r="A1583" t="s">
        <v>418</v>
      </c>
      <c r="B1583" t="s">
        <v>159</v>
      </c>
      <c r="C1583" s="5" t="str">
        <f>" кв. "&amp;B1583</f>
        <v xml:space="preserve"> кв. 155</v>
      </c>
      <c r="D1583" s="5" t="str">
        <f>CONCATENATE(A1583,C1583)</f>
        <v>Беломорская ул., дом 12 к.1 кв. 155</v>
      </c>
      <c r="E1583" s="3">
        <f>HYPERLINK("https://sao.dolgi.msk.ru/account/1404224646/", 1404224646)</f>
        <v>1404224646</v>
      </c>
      <c r="F1583">
        <v>1436</v>
      </c>
    </row>
    <row r="1584" spans="1:6" hidden="1" x14ac:dyDescent="0.25">
      <c r="A1584" t="s">
        <v>418</v>
      </c>
      <c r="B1584" t="s">
        <v>160</v>
      </c>
      <c r="E1584" s="3">
        <f>HYPERLINK("https://sao.dolgi.msk.ru/account/1404224822/", 1404224822)</f>
        <v>1404224822</v>
      </c>
      <c r="F1584">
        <v>-2501.36</v>
      </c>
    </row>
    <row r="1585" spans="1:6" hidden="1" x14ac:dyDescent="0.25">
      <c r="A1585" t="s">
        <v>418</v>
      </c>
      <c r="B1585" t="s">
        <v>161</v>
      </c>
      <c r="E1585" s="3">
        <f>HYPERLINK("https://sao.dolgi.msk.ru/account/1404226131/", 1404226131)</f>
        <v>1404226131</v>
      </c>
      <c r="F1585">
        <v>0</v>
      </c>
    </row>
    <row r="1586" spans="1:6" hidden="1" x14ac:dyDescent="0.25">
      <c r="A1586" t="s">
        <v>418</v>
      </c>
      <c r="B1586" t="s">
        <v>162</v>
      </c>
      <c r="E1586" s="3">
        <f>HYPERLINK("https://sao.dolgi.msk.ru/account/1404225227/", 1404225227)</f>
        <v>1404225227</v>
      </c>
      <c r="F1586">
        <v>-2861.06</v>
      </c>
    </row>
    <row r="1587" spans="1:6" hidden="1" x14ac:dyDescent="0.25">
      <c r="A1587" t="s">
        <v>418</v>
      </c>
      <c r="B1587" t="s">
        <v>163</v>
      </c>
      <c r="E1587" s="3">
        <f>HYPERLINK("https://sao.dolgi.msk.ru/account/1404225462/", 1404225462)</f>
        <v>1404225462</v>
      </c>
      <c r="F1587">
        <v>-1956.09</v>
      </c>
    </row>
    <row r="1588" spans="1:6" hidden="1" x14ac:dyDescent="0.25">
      <c r="A1588" t="s">
        <v>418</v>
      </c>
      <c r="B1588" t="s">
        <v>164</v>
      </c>
      <c r="E1588" s="3">
        <f>HYPERLINK("https://sao.dolgi.msk.ru/account/1404226342/", 1404226342)</f>
        <v>1404226342</v>
      </c>
      <c r="F1588">
        <v>-3979.6</v>
      </c>
    </row>
    <row r="1589" spans="1:6" x14ac:dyDescent="0.25">
      <c r="A1589" t="s">
        <v>418</v>
      </c>
      <c r="B1589" t="s">
        <v>165</v>
      </c>
      <c r="C1589" s="5" t="str">
        <f>" кв. "&amp;B1589</f>
        <v xml:space="preserve"> кв. 161</v>
      </c>
      <c r="D1589" s="5" t="str">
        <f>CONCATENATE(A1589,C1589)</f>
        <v>Беломорская ул., дом 12 к.1 кв. 161</v>
      </c>
      <c r="E1589" s="3">
        <f>HYPERLINK("https://sao.dolgi.msk.ru/account/1404226027/", 1404226027)</f>
        <v>1404226027</v>
      </c>
      <c r="F1589">
        <v>2679.06</v>
      </c>
    </row>
    <row r="1590" spans="1:6" hidden="1" x14ac:dyDescent="0.25">
      <c r="A1590" t="s">
        <v>418</v>
      </c>
      <c r="B1590" t="s">
        <v>166</v>
      </c>
      <c r="E1590" s="3">
        <f>HYPERLINK("https://sao.dolgi.msk.ru/account/1404226721/", 1404226721)</f>
        <v>1404226721</v>
      </c>
      <c r="F1590">
        <v>0</v>
      </c>
    </row>
    <row r="1591" spans="1:6" hidden="1" x14ac:dyDescent="0.25">
      <c r="A1591" t="s">
        <v>418</v>
      </c>
      <c r="B1591" t="s">
        <v>167</v>
      </c>
      <c r="E1591" s="3">
        <f>HYPERLINK("https://sao.dolgi.msk.ru/account/1404225075/", 1404225075)</f>
        <v>1404225075</v>
      </c>
      <c r="F1591">
        <v>-450.84</v>
      </c>
    </row>
    <row r="1592" spans="1:6" hidden="1" x14ac:dyDescent="0.25">
      <c r="A1592" t="s">
        <v>418</v>
      </c>
      <c r="B1592" t="s">
        <v>168</v>
      </c>
      <c r="E1592" s="3">
        <f>HYPERLINK("https://sao.dolgi.msk.ru/account/1404226748/", 1404226748)</f>
        <v>1404226748</v>
      </c>
      <c r="F1592">
        <v>-1985.19</v>
      </c>
    </row>
    <row r="1593" spans="1:6" hidden="1" x14ac:dyDescent="0.25">
      <c r="A1593" t="s">
        <v>418</v>
      </c>
      <c r="B1593" t="s">
        <v>169</v>
      </c>
      <c r="E1593" s="3">
        <f>HYPERLINK("https://sao.dolgi.msk.ru/account/1404224582/", 1404224582)</f>
        <v>1404224582</v>
      </c>
      <c r="F1593">
        <v>-3914.9</v>
      </c>
    </row>
    <row r="1594" spans="1:6" x14ac:dyDescent="0.25">
      <c r="A1594" t="s">
        <v>418</v>
      </c>
      <c r="B1594" t="s">
        <v>170</v>
      </c>
      <c r="C1594" s="5" t="str">
        <f>" кв. "&amp;B1594</f>
        <v xml:space="preserve"> кв. 166</v>
      </c>
      <c r="D1594" s="5" t="str">
        <f>CONCATENATE(A1594,C1594)</f>
        <v>Беломорская ул., дом 12 к.1 кв. 166</v>
      </c>
      <c r="E1594" s="3">
        <f>HYPERLINK("https://sao.dolgi.msk.ru/account/1404225366/", 1404225366)</f>
        <v>1404225366</v>
      </c>
      <c r="F1594">
        <v>1957.9</v>
      </c>
    </row>
    <row r="1595" spans="1:6" hidden="1" x14ac:dyDescent="0.25">
      <c r="A1595" t="s">
        <v>418</v>
      </c>
      <c r="B1595" t="s">
        <v>171</v>
      </c>
      <c r="E1595" s="3">
        <f>HYPERLINK("https://sao.dolgi.msk.ru/account/1404225139/", 1404225139)</f>
        <v>1404225139</v>
      </c>
      <c r="F1595">
        <v>-2103.04</v>
      </c>
    </row>
    <row r="1596" spans="1:6" hidden="1" x14ac:dyDescent="0.25">
      <c r="A1596" t="s">
        <v>418</v>
      </c>
      <c r="B1596" t="s">
        <v>172</v>
      </c>
      <c r="E1596" s="3">
        <f>HYPERLINK("https://sao.dolgi.msk.ru/account/1404225585/", 1404225585)</f>
        <v>1404225585</v>
      </c>
      <c r="F1596">
        <v>0</v>
      </c>
    </row>
    <row r="1597" spans="1:6" hidden="1" x14ac:dyDescent="0.25">
      <c r="A1597" t="s">
        <v>418</v>
      </c>
      <c r="B1597" t="s">
        <v>173</v>
      </c>
      <c r="E1597" s="3">
        <f>HYPERLINK("https://sao.dolgi.msk.ru/account/1404226756/", 1404226756)</f>
        <v>1404226756</v>
      </c>
      <c r="F1597">
        <v>-3924.13</v>
      </c>
    </row>
    <row r="1598" spans="1:6" hidden="1" x14ac:dyDescent="0.25">
      <c r="A1598" t="s">
        <v>418</v>
      </c>
      <c r="B1598" t="s">
        <v>174</v>
      </c>
      <c r="E1598" s="3">
        <f>HYPERLINK("https://sao.dolgi.msk.ru/account/1404225323/", 1404225323)</f>
        <v>1404225323</v>
      </c>
      <c r="F1598">
        <v>-2865.68</v>
      </c>
    </row>
    <row r="1599" spans="1:6" hidden="1" x14ac:dyDescent="0.25">
      <c r="A1599" t="s">
        <v>418</v>
      </c>
      <c r="B1599" t="s">
        <v>175</v>
      </c>
      <c r="E1599" s="3">
        <f>HYPERLINK("https://sao.dolgi.msk.ru/account/1404224769/", 1404224769)</f>
        <v>1404224769</v>
      </c>
      <c r="F1599">
        <v>-2870.3</v>
      </c>
    </row>
    <row r="1600" spans="1:6" x14ac:dyDescent="0.25">
      <c r="A1600" t="s">
        <v>418</v>
      </c>
      <c r="B1600" t="s">
        <v>176</v>
      </c>
      <c r="C1600" s="5" t="str">
        <f>" кв. "&amp;B1600</f>
        <v xml:space="preserve"> кв. 172</v>
      </c>
      <c r="D1600" s="5" t="str">
        <f>CONCATENATE(A1600,C1600)</f>
        <v>Беломорская ул., дом 12 к.1 кв. 172</v>
      </c>
      <c r="E1600" s="3">
        <f>HYPERLINK("https://sao.dolgi.msk.ru/account/1404225841/", 1404225841)</f>
        <v>1404225841</v>
      </c>
      <c r="F1600">
        <v>2713.85</v>
      </c>
    </row>
    <row r="1601" spans="1:6" hidden="1" x14ac:dyDescent="0.25">
      <c r="A1601" t="s">
        <v>418</v>
      </c>
      <c r="B1601" t="s">
        <v>177</v>
      </c>
      <c r="E1601" s="3">
        <f>HYPERLINK("https://sao.dolgi.msk.ru/account/1404224662/", 1404224662)</f>
        <v>1404224662</v>
      </c>
      <c r="F1601">
        <v>0</v>
      </c>
    </row>
    <row r="1602" spans="1:6" x14ac:dyDescent="0.25">
      <c r="A1602" t="s">
        <v>418</v>
      </c>
      <c r="B1602" t="s">
        <v>178</v>
      </c>
      <c r="C1602" s="5" t="str">
        <f>" кв. "&amp;B1602</f>
        <v xml:space="preserve"> кв. 174</v>
      </c>
      <c r="D1602" s="5" t="str">
        <f>CONCATENATE(A1602,C1602)</f>
        <v>Беломорская ул., дом 12 к.1 кв. 174</v>
      </c>
      <c r="E1602" s="3">
        <f>HYPERLINK("https://sao.dolgi.msk.ru/account/1404225526/", 1404225526)</f>
        <v>1404225526</v>
      </c>
      <c r="F1602">
        <v>1954.73</v>
      </c>
    </row>
    <row r="1603" spans="1:6" hidden="1" x14ac:dyDescent="0.25">
      <c r="A1603" t="s">
        <v>418</v>
      </c>
      <c r="B1603" t="s">
        <v>179</v>
      </c>
      <c r="E1603" s="3">
        <f>HYPERLINK("https://sao.dolgi.msk.ru/account/1404226318/", 1404226318)</f>
        <v>1404226318</v>
      </c>
      <c r="F1603">
        <v>-2865.68</v>
      </c>
    </row>
    <row r="1604" spans="1:6" hidden="1" x14ac:dyDescent="0.25">
      <c r="A1604" t="s">
        <v>418</v>
      </c>
      <c r="B1604" t="s">
        <v>180</v>
      </c>
      <c r="E1604" s="3">
        <f>HYPERLINK("https://sao.dolgi.msk.ru/account/1404225112/", 1404225112)</f>
        <v>1404225112</v>
      </c>
      <c r="F1604">
        <v>-3970.36</v>
      </c>
    </row>
    <row r="1605" spans="1:6" x14ac:dyDescent="0.25">
      <c r="A1605" t="s">
        <v>419</v>
      </c>
      <c r="B1605" t="s">
        <v>420</v>
      </c>
      <c r="C1605" s="5" t="str">
        <f>" кв. "&amp;B1605</f>
        <v xml:space="preserve"> кв. ФЛС 271-270</v>
      </c>
      <c r="D1605" s="5" t="str">
        <f>CONCATENATE(A1605,C1605)</f>
        <v>Беломорская ул., дом 13 к.1 кв. ФЛС 271-270</v>
      </c>
      <c r="E1605" s="3">
        <f>HYPERLINK("https://sao.dolgi.msk.ru/account/1404227927/", 1404227927)</f>
        <v>1404227927</v>
      </c>
      <c r="F1605">
        <v>2906.8</v>
      </c>
    </row>
    <row r="1606" spans="1:6" hidden="1" x14ac:dyDescent="0.25">
      <c r="A1606" t="s">
        <v>419</v>
      </c>
      <c r="B1606" t="s">
        <v>5</v>
      </c>
      <c r="E1606" s="3">
        <f>HYPERLINK("https://sao.dolgi.msk.ru/account/1404229674/", 1404229674)</f>
        <v>1404229674</v>
      </c>
      <c r="F1606">
        <v>-2671.55</v>
      </c>
    </row>
    <row r="1607" spans="1:6" hidden="1" x14ac:dyDescent="0.25">
      <c r="A1607" t="s">
        <v>419</v>
      </c>
      <c r="B1607" t="s">
        <v>6</v>
      </c>
      <c r="E1607" s="3">
        <f>HYPERLINK("https://sao.dolgi.msk.ru/account/1404228823/", 1404228823)</f>
        <v>1404228823</v>
      </c>
      <c r="F1607">
        <v>-2579.11</v>
      </c>
    </row>
    <row r="1608" spans="1:6" hidden="1" x14ac:dyDescent="0.25">
      <c r="A1608" t="s">
        <v>419</v>
      </c>
      <c r="B1608" t="s">
        <v>7</v>
      </c>
      <c r="E1608" s="3">
        <f>HYPERLINK("https://sao.dolgi.msk.ru/account/1404232398/", 1404232398)</f>
        <v>1404232398</v>
      </c>
      <c r="F1608">
        <v>-1839.57</v>
      </c>
    </row>
    <row r="1609" spans="1:6" x14ac:dyDescent="0.25">
      <c r="A1609" t="s">
        <v>419</v>
      </c>
      <c r="B1609" t="s">
        <v>8</v>
      </c>
      <c r="C1609" s="5" t="str">
        <f>" кв. "&amp;B1609</f>
        <v xml:space="preserve"> кв. 4</v>
      </c>
      <c r="D1609" s="5" t="str">
        <f>CONCATENATE(A1609,C1609)</f>
        <v>Беломорская ул., дом 13 к.1 кв. 4</v>
      </c>
      <c r="E1609" s="3">
        <f>HYPERLINK("https://sao.dolgi.msk.ru/account/1404230501/", 1404230501)</f>
        <v>1404230501</v>
      </c>
      <c r="F1609">
        <v>2397.5500000000002</v>
      </c>
    </row>
    <row r="1610" spans="1:6" hidden="1" x14ac:dyDescent="0.25">
      <c r="A1610" t="s">
        <v>419</v>
      </c>
      <c r="B1610" t="s">
        <v>9</v>
      </c>
      <c r="E1610" s="3">
        <f>HYPERLINK("https://sao.dolgi.msk.ru/account/1404230528/", 1404230528)</f>
        <v>1404230528</v>
      </c>
      <c r="F1610">
        <v>0</v>
      </c>
    </row>
    <row r="1611" spans="1:6" hidden="1" x14ac:dyDescent="0.25">
      <c r="A1611" t="s">
        <v>419</v>
      </c>
      <c r="B1611" t="s">
        <v>10</v>
      </c>
      <c r="E1611" s="3">
        <f>HYPERLINK("https://sao.dolgi.msk.ru/account/1404226887/", 1404226887)</f>
        <v>1404226887</v>
      </c>
      <c r="F1611">
        <v>-2042.16</v>
      </c>
    </row>
    <row r="1612" spans="1:6" hidden="1" x14ac:dyDescent="0.25">
      <c r="A1612" t="s">
        <v>419</v>
      </c>
      <c r="B1612" t="s">
        <v>11</v>
      </c>
      <c r="E1612" s="3">
        <f>HYPERLINK("https://sao.dolgi.msk.ru/account/1404230536/", 1404230536)</f>
        <v>1404230536</v>
      </c>
      <c r="F1612">
        <v>0</v>
      </c>
    </row>
    <row r="1613" spans="1:6" hidden="1" x14ac:dyDescent="0.25">
      <c r="A1613" t="s">
        <v>419</v>
      </c>
      <c r="B1613" t="s">
        <v>12</v>
      </c>
      <c r="E1613" s="3">
        <f>HYPERLINK("https://sao.dolgi.msk.ru/account/1404233526/", 1404233526)</f>
        <v>1404233526</v>
      </c>
      <c r="F1613">
        <v>-3438.81</v>
      </c>
    </row>
    <row r="1614" spans="1:6" hidden="1" x14ac:dyDescent="0.25">
      <c r="A1614" t="s">
        <v>419</v>
      </c>
      <c r="B1614" t="s">
        <v>13</v>
      </c>
      <c r="E1614" s="3">
        <f>HYPERLINK("https://sao.dolgi.msk.ru/account/1404233542/", 1404233542)</f>
        <v>1404233542</v>
      </c>
      <c r="F1614">
        <v>-2616.1</v>
      </c>
    </row>
    <row r="1615" spans="1:6" hidden="1" x14ac:dyDescent="0.25">
      <c r="A1615" t="s">
        <v>419</v>
      </c>
      <c r="B1615" t="s">
        <v>14</v>
      </c>
      <c r="E1615" s="3">
        <f>HYPERLINK("https://sao.dolgi.msk.ru/account/1404231088/", 1404231088)</f>
        <v>1404231088</v>
      </c>
      <c r="F1615">
        <v>-1264.1400000000001</v>
      </c>
    </row>
    <row r="1616" spans="1:6" hidden="1" x14ac:dyDescent="0.25">
      <c r="A1616" t="s">
        <v>419</v>
      </c>
      <c r="B1616" t="s">
        <v>14</v>
      </c>
      <c r="E1616" s="3">
        <f>HYPERLINK("https://sao.dolgi.msk.ru/account/1404232355/", 1404232355)</f>
        <v>1404232355</v>
      </c>
      <c r="F1616">
        <v>-632.08000000000004</v>
      </c>
    </row>
    <row r="1617" spans="1:6" hidden="1" x14ac:dyDescent="0.25">
      <c r="A1617" t="s">
        <v>419</v>
      </c>
      <c r="B1617" t="s">
        <v>15</v>
      </c>
      <c r="E1617" s="3">
        <f>HYPERLINK("https://sao.dolgi.msk.ru/account/1404229586/", 1404229586)</f>
        <v>1404229586</v>
      </c>
      <c r="F1617">
        <v>0</v>
      </c>
    </row>
    <row r="1618" spans="1:6" hidden="1" x14ac:dyDescent="0.25">
      <c r="A1618" t="s">
        <v>419</v>
      </c>
      <c r="B1618" t="s">
        <v>16</v>
      </c>
      <c r="E1618" s="3">
        <f>HYPERLINK("https://sao.dolgi.msk.ru/account/1404233382/", 1404233382)</f>
        <v>1404233382</v>
      </c>
      <c r="F1618">
        <v>0</v>
      </c>
    </row>
    <row r="1619" spans="1:6" hidden="1" x14ac:dyDescent="0.25">
      <c r="A1619" t="s">
        <v>419</v>
      </c>
      <c r="B1619" t="s">
        <v>17</v>
      </c>
      <c r="E1619" s="3">
        <f>HYPERLINK("https://sao.dolgi.msk.ru/account/1404226799/", 1404226799)</f>
        <v>1404226799</v>
      </c>
      <c r="F1619">
        <v>-2616.1</v>
      </c>
    </row>
    <row r="1620" spans="1:6" hidden="1" x14ac:dyDescent="0.25">
      <c r="A1620" t="s">
        <v>419</v>
      </c>
      <c r="B1620" t="s">
        <v>18</v>
      </c>
      <c r="E1620" s="3">
        <f>HYPERLINK("https://sao.dolgi.msk.ru/account/1404226801/", 1404226801)</f>
        <v>1404226801</v>
      </c>
      <c r="F1620">
        <v>0</v>
      </c>
    </row>
    <row r="1621" spans="1:6" hidden="1" x14ac:dyDescent="0.25">
      <c r="A1621" t="s">
        <v>419</v>
      </c>
      <c r="B1621" t="s">
        <v>19</v>
      </c>
      <c r="E1621" s="3">
        <f>HYPERLINK("https://sao.dolgi.msk.ru/account/1404230456/", 1404230456)</f>
        <v>1404230456</v>
      </c>
      <c r="F1621">
        <v>-1797.99</v>
      </c>
    </row>
    <row r="1622" spans="1:6" hidden="1" x14ac:dyDescent="0.25">
      <c r="A1622" t="s">
        <v>419</v>
      </c>
      <c r="B1622" t="s">
        <v>20</v>
      </c>
      <c r="E1622" s="3">
        <f>HYPERLINK("https://sao.dolgi.msk.ru/account/1404231301/", 1404231301)</f>
        <v>1404231301</v>
      </c>
      <c r="F1622">
        <v>-3429.57</v>
      </c>
    </row>
    <row r="1623" spans="1:6" x14ac:dyDescent="0.25">
      <c r="A1623" t="s">
        <v>419</v>
      </c>
      <c r="B1623" t="s">
        <v>21</v>
      </c>
      <c r="C1623" s="5" t="str">
        <f>" кв. "&amp;B1623</f>
        <v xml:space="preserve"> кв. 17</v>
      </c>
      <c r="D1623" s="5" t="str">
        <f>CONCATENATE(A1623,C1623)</f>
        <v>Беломорская ул., дом 13 к.1 кв. 17</v>
      </c>
      <c r="E1623" s="3">
        <f>HYPERLINK("https://sao.dolgi.msk.ru/account/1404233403/", 1404233403)</f>
        <v>1404233403</v>
      </c>
      <c r="F1623">
        <v>1783.93</v>
      </c>
    </row>
    <row r="1624" spans="1:6" hidden="1" x14ac:dyDescent="0.25">
      <c r="A1624" t="s">
        <v>419</v>
      </c>
      <c r="B1624" t="s">
        <v>22</v>
      </c>
      <c r="E1624" s="3">
        <f>HYPERLINK("https://sao.dolgi.msk.ru/account/1404233411/", 1404233411)</f>
        <v>1404233411</v>
      </c>
      <c r="F1624">
        <v>-1511.01</v>
      </c>
    </row>
    <row r="1625" spans="1:6" hidden="1" x14ac:dyDescent="0.25">
      <c r="A1625" t="s">
        <v>419</v>
      </c>
      <c r="B1625" t="s">
        <v>23</v>
      </c>
      <c r="E1625" s="3">
        <f>HYPERLINK("https://sao.dolgi.msk.ru/account/1404228604/", 1404228604)</f>
        <v>1404228604</v>
      </c>
      <c r="F1625">
        <v>-808.46</v>
      </c>
    </row>
    <row r="1626" spans="1:6" hidden="1" x14ac:dyDescent="0.25">
      <c r="A1626" t="s">
        <v>419</v>
      </c>
      <c r="B1626" t="s">
        <v>24</v>
      </c>
      <c r="E1626" s="3">
        <f>HYPERLINK("https://sao.dolgi.msk.ru/account/1404232187/", 1404232187)</f>
        <v>1404232187</v>
      </c>
      <c r="F1626">
        <v>0</v>
      </c>
    </row>
    <row r="1627" spans="1:6" hidden="1" x14ac:dyDescent="0.25">
      <c r="A1627" t="s">
        <v>419</v>
      </c>
      <c r="B1627" t="s">
        <v>25</v>
      </c>
      <c r="E1627" s="3">
        <f>HYPERLINK("https://sao.dolgi.msk.ru/account/1404231168/", 1404231168)</f>
        <v>1404231168</v>
      </c>
      <c r="F1627">
        <v>-818.54</v>
      </c>
    </row>
    <row r="1628" spans="1:6" hidden="1" x14ac:dyDescent="0.25">
      <c r="A1628" t="s">
        <v>419</v>
      </c>
      <c r="B1628" t="s">
        <v>26</v>
      </c>
      <c r="E1628" s="3">
        <f>HYPERLINK("https://sao.dolgi.msk.ru/account/1404232195/", 1404232195)</f>
        <v>1404232195</v>
      </c>
      <c r="F1628">
        <v>-2129.2199999999998</v>
      </c>
    </row>
    <row r="1629" spans="1:6" x14ac:dyDescent="0.25">
      <c r="A1629" t="s">
        <v>419</v>
      </c>
      <c r="B1629" t="s">
        <v>27</v>
      </c>
      <c r="C1629" s="5" t="str">
        <f>" кв. "&amp;B1629</f>
        <v xml:space="preserve"> кв. 23</v>
      </c>
      <c r="D1629" s="5" t="str">
        <f>CONCATENATE(A1629,C1629)</f>
        <v>Беломорская ул., дом 13 к.1 кв. 23</v>
      </c>
      <c r="E1629" s="3">
        <f>HYPERLINK("https://sao.dolgi.msk.ru/account/1404233972/", 1404233972)</f>
        <v>1404233972</v>
      </c>
      <c r="F1629">
        <v>1236.73</v>
      </c>
    </row>
    <row r="1630" spans="1:6" hidden="1" x14ac:dyDescent="0.25">
      <c r="A1630" t="s">
        <v>419</v>
      </c>
      <c r="B1630" t="s">
        <v>28</v>
      </c>
      <c r="E1630" s="3">
        <f>HYPERLINK("https://sao.dolgi.msk.ru/account/1404232849/", 1404232849)</f>
        <v>1404232849</v>
      </c>
      <c r="F1630">
        <v>-2671.55</v>
      </c>
    </row>
    <row r="1631" spans="1:6" hidden="1" x14ac:dyDescent="0.25">
      <c r="A1631" t="s">
        <v>419</v>
      </c>
      <c r="B1631" t="s">
        <v>29</v>
      </c>
      <c r="E1631" s="3">
        <f>HYPERLINK("https://sao.dolgi.msk.ru/account/1404232857/", 1404232857)</f>
        <v>1404232857</v>
      </c>
      <c r="F1631">
        <v>-413.66</v>
      </c>
    </row>
    <row r="1632" spans="1:6" hidden="1" x14ac:dyDescent="0.25">
      <c r="A1632" t="s">
        <v>419</v>
      </c>
      <c r="B1632" t="s">
        <v>30</v>
      </c>
      <c r="E1632" s="3">
        <f>HYPERLINK("https://sao.dolgi.msk.ru/account/1404230915/", 1404230915)</f>
        <v>1404230915</v>
      </c>
      <c r="F1632">
        <v>-1603.44</v>
      </c>
    </row>
    <row r="1633" spans="1:6" hidden="1" x14ac:dyDescent="0.25">
      <c r="A1633" t="s">
        <v>419</v>
      </c>
      <c r="B1633" t="s">
        <v>31</v>
      </c>
      <c r="E1633" s="3">
        <f>HYPERLINK("https://sao.dolgi.msk.ru/account/1404230923/", 1404230923)</f>
        <v>1404230923</v>
      </c>
      <c r="F1633">
        <v>-1339.6</v>
      </c>
    </row>
    <row r="1634" spans="1:6" hidden="1" x14ac:dyDescent="0.25">
      <c r="A1634" t="s">
        <v>419</v>
      </c>
      <c r="B1634" t="s">
        <v>32</v>
      </c>
      <c r="E1634" s="3">
        <f>HYPERLINK("https://sao.dolgi.msk.ru/account/1404231774/", 1404231774)</f>
        <v>1404231774</v>
      </c>
      <c r="F1634">
        <v>-2884.36</v>
      </c>
    </row>
    <row r="1635" spans="1:6" x14ac:dyDescent="0.25">
      <c r="A1635" t="s">
        <v>419</v>
      </c>
      <c r="B1635" t="s">
        <v>33</v>
      </c>
      <c r="C1635" s="5" t="str">
        <f t="shared" ref="C1635:C1636" si="72">" кв. "&amp;B1635</f>
        <v xml:space="preserve"> кв. 29</v>
      </c>
      <c r="D1635" s="5" t="str">
        <f>CONCATENATE(A1635,C1635)</f>
        <v>Беломорская ул., дом 13 к.1 кв. 29</v>
      </c>
      <c r="E1635" s="3">
        <f>HYPERLINK("https://sao.dolgi.msk.ru/account/1404233999/", 1404233999)</f>
        <v>1404233999</v>
      </c>
      <c r="F1635">
        <v>1799.75</v>
      </c>
    </row>
    <row r="1636" spans="1:6" x14ac:dyDescent="0.25">
      <c r="A1636" t="s">
        <v>419</v>
      </c>
      <c r="B1636" t="s">
        <v>34</v>
      </c>
      <c r="C1636" s="5" t="str">
        <f t="shared" si="72"/>
        <v xml:space="preserve"> кв. 30</v>
      </c>
      <c r="D1636" s="5" t="str">
        <f>CONCATENATE(A1636,C1636)</f>
        <v>Беломорская ул., дом 13 к.1 кв. 30</v>
      </c>
      <c r="E1636" s="3">
        <f>HYPERLINK("https://sao.dolgi.msk.ru/account/1404229148/", 1404229148)</f>
        <v>1404229148</v>
      </c>
      <c r="F1636">
        <v>1211.42</v>
      </c>
    </row>
    <row r="1637" spans="1:6" hidden="1" x14ac:dyDescent="0.25">
      <c r="A1637" t="s">
        <v>419</v>
      </c>
      <c r="B1637" t="s">
        <v>35</v>
      </c>
      <c r="E1637" s="3">
        <f>HYPERLINK("https://sao.dolgi.msk.ru/account/1404230931/", 1404230931)</f>
        <v>1404230931</v>
      </c>
      <c r="F1637">
        <v>-903.62</v>
      </c>
    </row>
    <row r="1638" spans="1:6" hidden="1" x14ac:dyDescent="0.25">
      <c r="A1638" t="s">
        <v>419</v>
      </c>
      <c r="B1638" t="s">
        <v>36</v>
      </c>
      <c r="E1638" s="3">
        <f>HYPERLINK("https://sao.dolgi.msk.ru/account/1404227804/", 1404227804)</f>
        <v>1404227804</v>
      </c>
      <c r="F1638">
        <v>-4215.1000000000004</v>
      </c>
    </row>
    <row r="1639" spans="1:6" x14ac:dyDescent="0.25">
      <c r="A1639" t="s">
        <v>419</v>
      </c>
      <c r="B1639" t="s">
        <v>37</v>
      </c>
      <c r="C1639" s="5" t="str">
        <f>" кв. "&amp;B1639</f>
        <v xml:space="preserve"> кв. 33</v>
      </c>
      <c r="D1639" s="5" t="str">
        <f>CONCATENATE(A1639,C1639)</f>
        <v>Беломорская ул., дом 13 к.1 кв. 33</v>
      </c>
      <c r="E1639" s="3">
        <f>HYPERLINK("https://sao.dolgi.msk.ru/account/1404226828/", 1404226828)</f>
        <v>1404226828</v>
      </c>
      <c r="F1639">
        <v>1790.26</v>
      </c>
    </row>
    <row r="1640" spans="1:6" hidden="1" x14ac:dyDescent="0.25">
      <c r="A1640" t="s">
        <v>419</v>
      </c>
      <c r="B1640" t="s">
        <v>38</v>
      </c>
      <c r="E1640" s="3">
        <f>HYPERLINK("https://sao.dolgi.msk.ru/account/1404228663/", 1404228663)</f>
        <v>1404228663</v>
      </c>
      <c r="F1640">
        <v>-2523.66</v>
      </c>
    </row>
    <row r="1641" spans="1:6" hidden="1" x14ac:dyDescent="0.25">
      <c r="A1641" t="s">
        <v>419</v>
      </c>
      <c r="B1641" t="s">
        <v>39</v>
      </c>
      <c r="E1641" s="3">
        <f>HYPERLINK("https://sao.dolgi.msk.ru/account/1404231328/", 1404231328)</f>
        <v>1404231328</v>
      </c>
      <c r="F1641">
        <v>-1816.48</v>
      </c>
    </row>
    <row r="1642" spans="1:6" hidden="1" x14ac:dyDescent="0.25">
      <c r="A1642" t="s">
        <v>419</v>
      </c>
      <c r="B1642" t="s">
        <v>40</v>
      </c>
      <c r="E1642" s="3">
        <f>HYPERLINK("https://sao.dolgi.msk.ru/account/1404226836/", 1404226836)</f>
        <v>1404226836</v>
      </c>
      <c r="F1642">
        <v>-2374.13</v>
      </c>
    </row>
    <row r="1643" spans="1:6" x14ac:dyDescent="0.25">
      <c r="A1643" t="s">
        <v>419</v>
      </c>
      <c r="B1643" t="s">
        <v>41</v>
      </c>
      <c r="C1643" s="5" t="str">
        <f>" кв. "&amp;B1643</f>
        <v xml:space="preserve"> кв. 37</v>
      </c>
      <c r="D1643" s="5" t="str">
        <f>CONCATENATE(A1643,C1643)</f>
        <v>Беломорская ул., дом 13 к.1 кв. 37</v>
      </c>
      <c r="E1643" s="3">
        <f>HYPERLINK("https://sao.dolgi.msk.ru/account/1404231336/", 1404231336)</f>
        <v>1404231336</v>
      </c>
      <c r="F1643">
        <v>1796.58</v>
      </c>
    </row>
    <row r="1644" spans="1:6" hidden="1" x14ac:dyDescent="0.25">
      <c r="A1644" t="s">
        <v>419</v>
      </c>
      <c r="B1644" t="s">
        <v>42</v>
      </c>
      <c r="E1644" s="3">
        <f>HYPERLINK("https://sao.dolgi.msk.ru/account/1404234393/", 1404234393)</f>
        <v>1404234393</v>
      </c>
      <c r="F1644">
        <v>-1428.91</v>
      </c>
    </row>
    <row r="1645" spans="1:6" hidden="1" x14ac:dyDescent="0.25">
      <c r="A1645" t="s">
        <v>419</v>
      </c>
      <c r="B1645" t="s">
        <v>43</v>
      </c>
      <c r="E1645" s="3">
        <f>HYPERLINK("https://sao.dolgi.msk.ru/account/1404234211/", 1404234211)</f>
        <v>1404234211</v>
      </c>
      <c r="F1645">
        <v>0</v>
      </c>
    </row>
    <row r="1646" spans="1:6" hidden="1" x14ac:dyDescent="0.25">
      <c r="A1646" t="s">
        <v>419</v>
      </c>
      <c r="B1646" t="s">
        <v>44</v>
      </c>
      <c r="E1646" s="3">
        <f>HYPERLINK("https://sao.dolgi.msk.ru/account/1404227548/", 1404227548)</f>
        <v>1404227548</v>
      </c>
      <c r="F1646">
        <v>-2533.84</v>
      </c>
    </row>
    <row r="1647" spans="1:6" hidden="1" x14ac:dyDescent="0.25">
      <c r="A1647" t="s">
        <v>419</v>
      </c>
      <c r="B1647" t="s">
        <v>45</v>
      </c>
      <c r="E1647" s="3">
        <f>HYPERLINK("https://sao.dolgi.msk.ru/account/1404228671/", 1404228671)</f>
        <v>1404228671</v>
      </c>
      <c r="F1647">
        <v>-1314.97</v>
      </c>
    </row>
    <row r="1648" spans="1:6" hidden="1" x14ac:dyDescent="0.25">
      <c r="A1648" t="s">
        <v>419</v>
      </c>
      <c r="B1648" t="s">
        <v>45</v>
      </c>
      <c r="E1648" s="3">
        <f>HYPERLINK("https://sao.dolgi.msk.ru/account/1404230202/", 1404230202)</f>
        <v>1404230202</v>
      </c>
      <c r="F1648">
        <v>-1314.97</v>
      </c>
    </row>
    <row r="1649" spans="1:6" hidden="1" x14ac:dyDescent="0.25">
      <c r="A1649" t="s">
        <v>419</v>
      </c>
      <c r="B1649" t="s">
        <v>46</v>
      </c>
      <c r="E1649" s="3">
        <f>HYPERLINK("https://sao.dolgi.msk.ru/account/1404233446/", 1404233446)</f>
        <v>1404233446</v>
      </c>
      <c r="F1649">
        <v>-1793.36</v>
      </c>
    </row>
    <row r="1650" spans="1:6" hidden="1" x14ac:dyDescent="0.25">
      <c r="A1650" t="s">
        <v>419</v>
      </c>
      <c r="B1650" t="s">
        <v>47</v>
      </c>
      <c r="E1650" s="3">
        <f>HYPERLINK("https://sao.dolgi.msk.ru/account/1404228698/", 1404228698)</f>
        <v>1404228698</v>
      </c>
      <c r="F1650">
        <v>-1821.1</v>
      </c>
    </row>
    <row r="1651" spans="1:6" hidden="1" x14ac:dyDescent="0.25">
      <c r="A1651" t="s">
        <v>419</v>
      </c>
      <c r="B1651" t="s">
        <v>48</v>
      </c>
      <c r="E1651" s="3">
        <f>HYPERLINK("https://sao.dolgi.msk.ru/account/1404227812/", 1404227812)</f>
        <v>1404227812</v>
      </c>
      <c r="F1651">
        <v>-3457.3</v>
      </c>
    </row>
    <row r="1652" spans="1:6" x14ac:dyDescent="0.25">
      <c r="A1652" t="s">
        <v>419</v>
      </c>
      <c r="B1652" t="s">
        <v>49</v>
      </c>
      <c r="C1652" s="5" t="str">
        <f>" кв. "&amp;B1652</f>
        <v xml:space="preserve"> кв. 45</v>
      </c>
      <c r="D1652" s="5" t="str">
        <f>CONCATENATE(A1652,C1652)</f>
        <v>Беломорская ул., дом 13 к.1 кв. 45</v>
      </c>
      <c r="E1652" s="3">
        <f>HYPERLINK("https://sao.dolgi.msk.ru/account/1404228719/", 1404228719)</f>
        <v>1404228719</v>
      </c>
      <c r="F1652">
        <v>1277.8499999999999</v>
      </c>
    </row>
    <row r="1653" spans="1:6" hidden="1" x14ac:dyDescent="0.25">
      <c r="A1653" t="s">
        <v>419</v>
      </c>
      <c r="B1653" t="s">
        <v>50</v>
      </c>
      <c r="E1653" s="3">
        <f>HYPERLINK("https://sao.dolgi.msk.ru/account/1404234449/", 1404234449)</f>
        <v>1404234449</v>
      </c>
      <c r="F1653">
        <v>0</v>
      </c>
    </row>
    <row r="1654" spans="1:6" hidden="1" x14ac:dyDescent="0.25">
      <c r="A1654" t="s">
        <v>419</v>
      </c>
      <c r="B1654" t="s">
        <v>51</v>
      </c>
      <c r="E1654" s="3">
        <f>HYPERLINK("https://sao.dolgi.msk.ru/account/1404228815/", 1404228815)</f>
        <v>1404228815</v>
      </c>
      <c r="F1654">
        <v>-1816.48</v>
      </c>
    </row>
    <row r="1655" spans="1:6" hidden="1" x14ac:dyDescent="0.25">
      <c r="A1655" t="s">
        <v>419</v>
      </c>
      <c r="B1655" t="s">
        <v>52</v>
      </c>
      <c r="E1655" s="3">
        <f>HYPERLINK("https://sao.dolgi.msk.ru/account/1404231432/", 1404231432)</f>
        <v>1404231432</v>
      </c>
      <c r="F1655">
        <v>0</v>
      </c>
    </row>
    <row r="1656" spans="1:6" hidden="1" x14ac:dyDescent="0.25">
      <c r="A1656" t="s">
        <v>419</v>
      </c>
      <c r="B1656" t="s">
        <v>53</v>
      </c>
      <c r="E1656" s="3">
        <f>HYPERLINK("https://sao.dolgi.msk.ru/account/1404231459/", 1404231459)</f>
        <v>1404231459</v>
      </c>
      <c r="F1656">
        <v>-2214.85</v>
      </c>
    </row>
    <row r="1657" spans="1:6" x14ac:dyDescent="0.25">
      <c r="A1657" t="s">
        <v>419</v>
      </c>
      <c r="B1657" t="s">
        <v>54</v>
      </c>
      <c r="C1657" s="5" t="str">
        <f t="shared" ref="C1657:C1658" si="73">" кв. "&amp;B1657</f>
        <v xml:space="preserve"> кв. 50</v>
      </c>
      <c r="D1657" s="5" t="str">
        <f>CONCATENATE(A1657,C1657)</f>
        <v>Беломорская ул., дом 13 к.1 кв. 50</v>
      </c>
      <c r="E1657" s="3">
        <f>HYPERLINK("https://sao.dolgi.msk.ru/account/1404226967/", 1404226967)</f>
        <v>1404226967</v>
      </c>
      <c r="F1657">
        <v>876.15</v>
      </c>
    </row>
    <row r="1658" spans="1:6" x14ac:dyDescent="0.25">
      <c r="A1658" t="s">
        <v>419</v>
      </c>
      <c r="B1658" t="s">
        <v>54</v>
      </c>
      <c r="C1658" s="5" t="str">
        <f t="shared" si="73"/>
        <v xml:space="preserve"> кв. 50</v>
      </c>
      <c r="D1658" s="5" t="str">
        <f>CONCATENATE(A1658,C1658)</f>
        <v>Беломорская ул., дом 13 к.1 кв. 50</v>
      </c>
      <c r="E1658" s="3">
        <f>HYPERLINK("https://sao.dolgi.msk.ru/account/1404227484/", 1404227484)</f>
        <v>1404227484</v>
      </c>
      <c r="F1658">
        <v>876.15</v>
      </c>
    </row>
    <row r="1659" spans="1:6" hidden="1" x14ac:dyDescent="0.25">
      <c r="A1659" t="s">
        <v>419</v>
      </c>
      <c r="B1659" t="s">
        <v>55</v>
      </c>
      <c r="E1659" s="3">
        <f>HYPERLINK("https://sao.dolgi.msk.ru/account/1404233497/", 1404233497)</f>
        <v>1404233497</v>
      </c>
      <c r="F1659">
        <v>-1053.8399999999999</v>
      </c>
    </row>
    <row r="1660" spans="1:6" hidden="1" x14ac:dyDescent="0.25">
      <c r="A1660" t="s">
        <v>419</v>
      </c>
      <c r="B1660" t="s">
        <v>56</v>
      </c>
      <c r="E1660" s="3">
        <f>HYPERLINK("https://sao.dolgi.msk.ru/account/1404232347/", 1404232347)</f>
        <v>1404232347</v>
      </c>
      <c r="F1660">
        <v>-2975.8</v>
      </c>
    </row>
    <row r="1661" spans="1:6" hidden="1" x14ac:dyDescent="0.25">
      <c r="A1661" t="s">
        <v>419</v>
      </c>
      <c r="B1661" t="s">
        <v>57</v>
      </c>
      <c r="E1661" s="3">
        <f>HYPERLINK("https://sao.dolgi.msk.ru/account/1404233518/", 1404233518)</f>
        <v>1404233518</v>
      </c>
      <c r="F1661">
        <v>-2616.1</v>
      </c>
    </row>
    <row r="1662" spans="1:6" hidden="1" x14ac:dyDescent="0.25">
      <c r="A1662" t="s">
        <v>419</v>
      </c>
      <c r="B1662" t="s">
        <v>58</v>
      </c>
      <c r="E1662" s="3">
        <f>HYPERLINK("https://sao.dolgi.msk.ru/account/1404226879/", 1404226879)</f>
        <v>1404226879</v>
      </c>
      <c r="F1662">
        <v>-2551.38</v>
      </c>
    </row>
    <row r="1663" spans="1:6" hidden="1" x14ac:dyDescent="0.25">
      <c r="A1663" t="s">
        <v>419</v>
      </c>
      <c r="B1663" t="s">
        <v>59</v>
      </c>
      <c r="E1663" s="3">
        <f>HYPERLINK("https://sao.dolgi.msk.ru/account/1404227855/", 1404227855)</f>
        <v>1404227855</v>
      </c>
      <c r="F1663">
        <v>-1825.73</v>
      </c>
    </row>
    <row r="1664" spans="1:6" hidden="1" x14ac:dyDescent="0.25">
      <c r="A1664" t="s">
        <v>419</v>
      </c>
      <c r="B1664" t="s">
        <v>60</v>
      </c>
      <c r="E1664" s="3">
        <f>HYPERLINK("https://sao.dolgi.msk.ru/account/1404233534/", 1404233534)</f>
        <v>1404233534</v>
      </c>
      <c r="F1664">
        <v>-3448.06</v>
      </c>
    </row>
    <row r="1665" spans="1:6" hidden="1" x14ac:dyDescent="0.25">
      <c r="A1665" t="s">
        <v>419</v>
      </c>
      <c r="B1665" t="s">
        <v>61</v>
      </c>
      <c r="E1665" s="3">
        <f>HYPERLINK("https://sao.dolgi.msk.ru/account/1404228743/", 1404228743)</f>
        <v>1404228743</v>
      </c>
      <c r="F1665">
        <v>0</v>
      </c>
    </row>
    <row r="1666" spans="1:6" hidden="1" x14ac:dyDescent="0.25">
      <c r="A1666" t="s">
        <v>419</v>
      </c>
      <c r="B1666" t="s">
        <v>62</v>
      </c>
      <c r="E1666" s="3">
        <f>HYPERLINK("https://sao.dolgi.msk.ru/account/1404228751/", 1404228751)</f>
        <v>1404228751</v>
      </c>
      <c r="F1666">
        <v>-2509.79</v>
      </c>
    </row>
    <row r="1667" spans="1:6" hidden="1" x14ac:dyDescent="0.25">
      <c r="A1667" t="s">
        <v>419</v>
      </c>
      <c r="B1667" t="s">
        <v>63</v>
      </c>
      <c r="E1667" s="3">
        <f>HYPERLINK("https://sao.dolgi.msk.ru/account/1404227863/", 1404227863)</f>
        <v>1404227863</v>
      </c>
      <c r="F1667">
        <v>-996.19</v>
      </c>
    </row>
    <row r="1668" spans="1:6" x14ac:dyDescent="0.25">
      <c r="A1668" t="s">
        <v>419</v>
      </c>
      <c r="B1668" t="s">
        <v>64</v>
      </c>
      <c r="C1668" s="5" t="str">
        <f t="shared" ref="C1668:C1669" si="74">" кв. "&amp;B1668</f>
        <v xml:space="preserve"> кв. 60</v>
      </c>
      <c r="D1668" s="5" t="str">
        <f>CONCATENATE(A1668,C1668)</f>
        <v>Беломорская ул., дом 13 к.1 кв. 60</v>
      </c>
      <c r="E1668" s="3">
        <f>HYPERLINK("https://sao.dolgi.msk.ru/account/1404228778/", 1404228778)</f>
        <v>1404228778</v>
      </c>
      <c r="F1668">
        <v>2369.09</v>
      </c>
    </row>
    <row r="1669" spans="1:6" x14ac:dyDescent="0.25">
      <c r="A1669" t="s">
        <v>419</v>
      </c>
      <c r="B1669" t="s">
        <v>65</v>
      </c>
      <c r="C1669" s="5" t="str">
        <f t="shared" si="74"/>
        <v xml:space="preserve"> кв. 61</v>
      </c>
      <c r="D1669" s="5" t="str">
        <f>CONCATENATE(A1669,C1669)</f>
        <v>Беломорская ул., дом 13 к.1 кв. 61</v>
      </c>
      <c r="E1669" s="3">
        <f>HYPERLINK("https://sao.dolgi.msk.ru/account/1404233374/", 1404233374)</f>
        <v>1404233374</v>
      </c>
      <c r="F1669">
        <v>1799.75</v>
      </c>
    </row>
    <row r="1670" spans="1:6" hidden="1" x14ac:dyDescent="0.25">
      <c r="A1670" t="s">
        <v>419</v>
      </c>
      <c r="B1670" t="s">
        <v>66</v>
      </c>
      <c r="E1670" s="3">
        <f>HYPERLINK("https://sao.dolgi.msk.ru/account/1404230448/", 1404230448)</f>
        <v>1404230448</v>
      </c>
      <c r="F1670">
        <v>-2509.79</v>
      </c>
    </row>
    <row r="1671" spans="1:6" hidden="1" x14ac:dyDescent="0.25">
      <c r="A1671" t="s">
        <v>419</v>
      </c>
      <c r="B1671" t="s">
        <v>67</v>
      </c>
      <c r="E1671" s="3">
        <f>HYPERLINK("https://sao.dolgi.msk.ru/account/1404231299/", 1404231299)</f>
        <v>1404231299</v>
      </c>
      <c r="F1671">
        <v>-1807.23</v>
      </c>
    </row>
    <row r="1672" spans="1:6" hidden="1" x14ac:dyDescent="0.25">
      <c r="A1672" t="s">
        <v>419</v>
      </c>
      <c r="B1672" t="s">
        <v>68</v>
      </c>
      <c r="E1672" s="3">
        <f>HYPERLINK("https://sao.dolgi.msk.ru/account/1404232267/", 1404232267)</f>
        <v>1404232267</v>
      </c>
      <c r="F1672">
        <v>-3461.93</v>
      </c>
    </row>
    <row r="1673" spans="1:6" x14ac:dyDescent="0.25">
      <c r="A1673" t="s">
        <v>419</v>
      </c>
      <c r="B1673" t="s">
        <v>69</v>
      </c>
      <c r="C1673" s="5" t="str">
        <f>" кв. "&amp;B1673</f>
        <v xml:space="preserve"> кв. 65</v>
      </c>
      <c r="D1673" s="5" t="str">
        <f>CONCATENATE(A1673,C1673)</f>
        <v>Беломорская ул., дом 13 к.1 кв. 65</v>
      </c>
      <c r="E1673" s="3">
        <f>HYPERLINK("https://sao.dolgi.msk.ru/account/1404229594/", 1404229594)</f>
        <v>1404229594</v>
      </c>
      <c r="F1673">
        <v>1780.77</v>
      </c>
    </row>
    <row r="1674" spans="1:6" hidden="1" x14ac:dyDescent="0.25">
      <c r="A1674" t="s">
        <v>419</v>
      </c>
      <c r="B1674" t="s">
        <v>70</v>
      </c>
      <c r="E1674" s="3">
        <f>HYPERLINK("https://sao.dolgi.msk.ru/account/1404233294/", 1404233294)</f>
        <v>1404233294</v>
      </c>
      <c r="F1674">
        <v>0</v>
      </c>
    </row>
    <row r="1675" spans="1:6" hidden="1" x14ac:dyDescent="0.25">
      <c r="A1675" t="s">
        <v>419</v>
      </c>
      <c r="B1675" t="s">
        <v>71</v>
      </c>
      <c r="E1675" s="3">
        <f>HYPERLINK("https://sao.dolgi.msk.ru/account/1404232822/", 1404232822)</f>
        <v>1404232822</v>
      </c>
      <c r="F1675">
        <v>-1807.23</v>
      </c>
    </row>
    <row r="1676" spans="1:6" x14ac:dyDescent="0.25">
      <c r="A1676" t="s">
        <v>419</v>
      </c>
      <c r="B1676" t="s">
        <v>72</v>
      </c>
      <c r="C1676" s="5" t="str">
        <f>" кв. "&amp;B1676</f>
        <v xml:space="preserve"> кв. 68</v>
      </c>
      <c r="D1676" s="5" t="str">
        <f>CONCATENATE(A1676,C1676)</f>
        <v>Беломорская ул., дом 13 к.1 кв. 68</v>
      </c>
      <c r="E1676" s="3">
        <f>HYPERLINK("https://sao.dolgi.msk.ru/account/1404228233/", 1404228233)</f>
        <v>1404228233</v>
      </c>
      <c r="F1676">
        <v>2372.25</v>
      </c>
    </row>
    <row r="1677" spans="1:6" hidden="1" x14ac:dyDescent="0.25">
      <c r="A1677" t="s">
        <v>419</v>
      </c>
      <c r="B1677" t="s">
        <v>73</v>
      </c>
      <c r="E1677" s="3">
        <f>HYPERLINK("https://sao.dolgi.msk.ru/account/1404231766/", 1404231766)</f>
        <v>1404231766</v>
      </c>
      <c r="F1677">
        <v>0</v>
      </c>
    </row>
    <row r="1678" spans="1:6" hidden="1" x14ac:dyDescent="0.25">
      <c r="A1678" t="s">
        <v>419</v>
      </c>
      <c r="B1678" t="s">
        <v>421</v>
      </c>
      <c r="E1678" s="3">
        <f>HYPERLINK("https://sao.dolgi.msk.ru/account/1404230464/", 1404230464)</f>
        <v>1404230464</v>
      </c>
      <c r="F1678">
        <v>0</v>
      </c>
    </row>
    <row r="1679" spans="1:6" hidden="1" x14ac:dyDescent="0.25">
      <c r="A1679" t="s">
        <v>419</v>
      </c>
      <c r="B1679" t="s">
        <v>76</v>
      </c>
      <c r="E1679" s="3">
        <f>HYPERLINK("https://sao.dolgi.msk.ru/account/1404227396/", 1404227396)</f>
        <v>1404227396</v>
      </c>
      <c r="F1679">
        <v>-3443.44</v>
      </c>
    </row>
    <row r="1680" spans="1:6" hidden="1" x14ac:dyDescent="0.25">
      <c r="A1680" t="s">
        <v>419</v>
      </c>
      <c r="B1680" t="s">
        <v>77</v>
      </c>
      <c r="E1680" s="3">
        <f>HYPERLINK("https://sao.dolgi.msk.ru/account/1404228241/", 1404228241)</f>
        <v>1404228241</v>
      </c>
      <c r="F1680">
        <v>-2616.1</v>
      </c>
    </row>
    <row r="1681" spans="1:6" hidden="1" x14ac:dyDescent="0.25">
      <c r="A1681" t="s">
        <v>419</v>
      </c>
      <c r="B1681" t="s">
        <v>78</v>
      </c>
      <c r="E1681" s="3">
        <f>HYPERLINK("https://sao.dolgi.msk.ru/account/1404233438/", 1404233438)</f>
        <v>1404233438</v>
      </c>
      <c r="F1681">
        <v>0</v>
      </c>
    </row>
    <row r="1682" spans="1:6" hidden="1" x14ac:dyDescent="0.25">
      <c r="A1682" t="s">
        <v>419</v>
      </c>
      <c r="B1682" t="s">
        <v>79</v>
      </c>
      <c r="E1682" s="3">
        <f>HYPERLINK("https://sao.dolgi.msk.ru/account/1404226844/", 1404226844)</f>
        <v>1404226844</v>
      </c>
      <c r="F1682">
        <v>-1807.23</v>
      </c>
    </row>
    <row r="1683" spans="1:6" hidden="1" x14ac:dyDescent="0.25">
      <c r="A1683" t="s">
        <v>419</v>
      </c>
      <c r="B1683" t="s">
        <v>80</v>
      </c>
      <c r="E1683" s="3">
        <f>HYPERLINK("https://sao.dolgi.msk.ru/account/1404231344/", 1404231344)</f>
        <v>1404231344</v>
      </c>
      <c r="F1683">
        <v>-2103.3000000000002</v>
      </c>
    </row>
    <row r="1684" spans="1:6" hidden="1" x14ac:dyDescent="0.25">
      <c r="A1684" t="s">
        <v>419</v>
      </c>
      <c r="B1684" t="s">
        <v>81</v>
      </c>
      <c r="E1684" s="3">
        <f>HYPERLINK("https://sao.dolgi.msk.ru/account/1404228575/", 1404228575)</f>
        <v>1404228575</v>
      </c>
      <c r="F1684">
        <v>-2657.69</v>
      </c>
    </row>
    <row r="1685" spans="1:6" hidden="1" x14ac:dyDescent="0.25">
      <c r="A1685" t="s">
        <v>419</v>
      </c>
      <c r="B1685" t="s">
        <v>82</v>
      </c>
      <c r="E1685" s="3">
        <f>HYPERLINK("https://sao.dolgi.msk.ru/account/1404234457/", 1404234457)</f>
        <v>1404234457</v>
      </c>
      <c r="F1685">
        <v>-2551.38</v>
      </c>
    </row>
    <row r="1686" spans="1:6" hidden="1" x14ac:dyDescent="0.25">
      <c r="A1686" t="s">
        <v>419</v>
      </c>
      <c r="B1686" t="s">
        <v>83</v>
      </c>
      <c r="E1686" s="3">
        <f>HYPERLINK("https://sao.dolgi.msk.ru/account/1404233251/", 1404233251)</f>
        <v>1404233251</v>
      </c>
      <c r="F1686">
        <v>-1072.33</v>
      </c>
    </row>
    <row r="1687" spans="1:6" hidden="1" x14ac:dyDescent="0.25">
      <c r="A1687" t="s">
        <v>419</v>
      </c>
      <c r="B1687" t="s">
        <v>84</v>
      </c>
      <c r="E1687" s="3">
        <f>HYPERLINK("https://sao.dolgi.msk.ru/account/1404228583/", 1404228583)</f>
        <v>1404228583</v>
      </c>
      <c r="F1687">
        <v>-3452.68</v>
      </c>
    </row>
    <row r="1688" spans="1:6" hidden="1" x14ac:dyDescent="0.25">
      <c r="A1688" t="s">
        <v>419</v>
      </c>
      <c r="B1688" t="s">
        <v>85</v>
      </c>
      <c r="E1688" s="3">
        <f>HYPERLINK("https://sao.dolgi.msk.ru/account/1404230827/", 1404230827)</f>
        <v>1404230827</v>
      </c>
      <c r="F1688">
        <v>-2653.06</v>
      </c>
    </row>
    <row r="1689" spans="1:6" hidden="1" x14ac:dyDescent="0.25">
      <c r="A1689" t="s">
        <v>419</v>
      </c>
      <c r="B1689" t="s">
        <v>86</v>
      </c>
      <c r="E1689" s="3">
        <f>HYPERLINK("https://sao.dolgi.msk.ru/account/1404230835/", 1404230835)</f>
        <v>1404230835</v>
      </c>
      <c r="F1689">
        <v>0</v>
      </c>
    </row>
    <row r="1690" spans="1:6" hidden="1" x14ac:dyDescent="0.25">
      <c r="A1690" t="s">
        <v>419</v>
      </c>
      <c r="B1690" t="s">
        <v>87</v>
      </c>
      <c r="E1690" s="3">
        <f>HYPERLINK("https://sao.dolgi.msk.ru/account/1404232443/", 1404232443)</f>
        <v>1404232443</v>
      </c>
      <c r="F1690">
        <v>-1830.35</v>
      </c>
    </row>
    <row r="1691" spans="1:6" hidden="1" x14ac:dyDescent="0.25">
      <c r="A1691" t="s">
        <v>419</v>
      </c>
      <c r="B1691" t="s">
        <v>88</v>
      </c>
      <c r="E1691" s="3">
        <f>HYPERLINK("https://sao.dolgi.msk.ru/account/1404233913/", 1404233913)</f>
        <v>1404233913</v>
      </c>
      <c r="F1691">
        <v>-2903.82</v>
      </c>
    </row>
    <row r="1692" spans="1:6" hidden="1" x14ac:dyDescent="0.25">
      <c r="A1692" t="s">
        <v>419</v>
      </c>
      <c r="B1692" t="s">
        <v>89</v>
      </c>
      <c r="E1692" s="3">
        <f>HYPERLINK("https://sao.dolgi.msk.ru/account/1404227775/", 1404227775)</f>
        <v>1404227775</v>
      </c>
      <c r="F1692">
        <v>0</v>
      </c>
    </row>
    <row r="1693" spans="1:6" hidden="1" x14ac:dyDescent="0.25">
      <c r="A1693" t="s">
        <v>419</v>
      </c>
      <c r="B1693" t="s">
        <v>90</v>
      </c>
      <c r="E1693" s="3">
        <f>HYPERLINK("https://sao.dolgi.msk.ru/account/1404230384/", 1404230384)</f>
        <v>1404230384</v>
      </c>
      <c r="F1693">
        <v>0</v>
      </c>
    </row>
    <row r="1694" spans="1:6" hidden="1" x14ac:dyDescent="0.25">
      <c r="A1694" t="s">
        <v>419</v>
      </c>
      <c r="B1694" t="s">
        <v>91</v>
      </c>
      <c r="E1694" s="3">
        <f>HYPERLINK("https://sao.dolgi.msk.ru/account/1404233278/", 1404233278)</f>
        <v>1404233278</v>
      </c>
      <c r="F1694">
        <v>0</v>
      </c>
    </row>
    <row r="1695" spans="1:6" hidden="1" x14ac:dyDescent="0.25">
      <c r="A1695" t="s">
        <v>419</v>
      </c>
      <c r="B1695" t="s">
        <v>92</v>
      </c>
      <c r="E1695" s="3">
        <f>HYPERLINK("https://sao.dolgi.msk.ru/account/1404227687/", 1404227687)</f>
        <v>1404227687</v>
      </c>
      <c r="F1695">
        <v>0</v>
      </c>
    </row>
    <row r="1696" spans="1:6" x14ac:dyDescent="0.25">
      <c r="A1696" t="s">
        <v>419</v>
      </c>
      <c r="B1696" t="s">
        <v>93</v>
      </c>
      <c r="C1696" s="5" t="str">
        <f>" кв. "&amp;B1696</f>
        <v xml:space="preserve"> кв. 89</v>
      </c>
      <c r="D1696" s="5" t="str">
        <f>CONCATENATE(A1696,C1696)</f>
        <v>Беломорская ул., дом 13 к.1 кв. 89</v>
      </c>
      <c r="E1696" s="3">
        <f>HYPERLINK("https://sao.dolgi.msk.ru/account/1404228591/", 1404228591)</f>
        <v>1404228591</v>
      </c>
      <c r="F1696">
        <v>1799.75</v>
      </c>
    </row>
    <row r="1697" spans="1:6" hidden="1" x14ac:dyDescent="0.25">
      <c r="A1697" t="s">
        <v>419</v>
      </c>
      <c r="B1697" t="s">
        <v>94</v>
      </c>
      <c r="E1697" s="3">
        <f>HYPERLINK("https://sao.dolgi.msk.ru/account/1404232718/", 1404232718)</f>
        <v>1404232718</v>
      </c>
      <c r="F1697">
        <v>-1906.6</v>
      </c>
    </row>
    <row r="1698" spans="1:6" hidden="1" x14ac:dyDescent="0.25">
      <c r="A1698" t="s">
        <v>419</v>
      </c>
      <c r="B1698" t="s">
        <v>95</v>
      </c>
      <c r="E1698" s="3">
        <f>HYPERLINK("https://sao.dolgi.msk.ru/account/1404233681/", 1404233681)</f>
        <v>1404233681</v>
      </c>
      <c r="F1698">
        <v>-1825.73</v>
      </c>
    </row>
    <row r="1699" spans="1:6" hidden="1" x14ac:dyDescent="0.25">
      <c r="A1699" t="s">
        <v>419</v>
      </c>
      <c r="B1699" t="s">
        <v>96</v>
      </c>
      <c r="E1699" s="3">
        <f>HYPERLINK("https://sao.dolgi.msk.ru/account/1404229092/", 1404229092)</f>
        <v>1404229092</v>
      </c>
      <c r="F1699">
        <v>-3480.42</v>
      </c>
    </row>
    <row r="1700" spans="1:6" hidden="1" x14ac:dyDescent="0.25">
      <c r="A1700" t="s">
        <v>419</v>
      </c>
      <c r="B1700" t="s">
        <v>97</v>
      </c>
      <c r="E1700" s="3">
        <f>HYPERLINK("https://sao.dolgi.msk.ru/account/1404231678/", 1404231678)</f>
        <v>1404231678</v>
      </c>
      <c r="F1700">
        <v>-3766.99</v>
      </c>
    </row>
    <row r="1701" spans="1:6" hidden="1" x14ac:dyDescent="0.25">
      <c r="A1701" t="s">
        <v>419</v>
      </c>
      <c r="B1701" t="s">
        <v>98</v>
      </c>
      <c r="E1701" s="3">
        <f>HYPERLINK("https://sao.dolgi.msk.ru/account/1404227302/", 1404227302)</f>
        <v>1404227302</v>
      </c>
      <c r="F1701">
        <v>-1871.94</v>
      </c>
    </row>
    <row r="1702" spans="1:6" x14ac:dyDescent="0.25">
      <c r="A1702" t="s">
        <v>419</v>
      </c>
      <c r="B1702" t="s">
        <v>99</v>
      </c>
      <c r="C1702" s="5" t="str">
        <f>" кв. "&amp;B1702</f>
        <v xml:space="preserve"> кв. 95</v>
      </c>
      <c r="D1702" s="5" t="str">
        <f>CONCATENATE(A1702,C1702)</f>
        <v>Беломорская ул., дом 13 к.1 кв. 95</v>
      </c>
      <c r="E1702" s="3">
        <f>HYPERLINK("https://sao.dolgi.msk.ru/account/1404232726/", 1404232726)</f>
        <v>1404232726</v>
      </c>
      <c r="F1702">
        <v>891.97</v>
      </c>
    </row>
    <row r="1703" spans="1:6" hidden="1" x14ac:dyDescent="0.25">
      <c r="A1703" t="s">
        <v>419</v>
      </c>
      <c r="B1703" t="s">
        <v>99</v>
      </c>
      <c r="E1703" s="3">
        <f>HYPERLINK("https://sao.dolgi.msk.ru/account/1404234369/", 1404234369)</f>
        <v>1404234369</v>
      </c>
      <c r="F1703">
        <v>-1303.43</v>
      </c>
    </row>
    <row r="1704" spans="1:6" hidden="1" x14ac:dyDescent="0.25">
      <c r="A1704" t="s">
        <v>419</v>
      </c>
      <c r="B1704" t="s">
        <v>100</v>
      </c>
      <c r="E1704" s="3">
        <f>HYPERLINK("https://sao.dolgi.msk.ru/account/1404229981/", 1404229981)</f>
        <v>1404229981</v>
      </c>
      <c r="F1704">
        <v>-2676.18</v>
      </c>
    </row>
    <row r="1705" spans="1:6" x14ac:dyDescent="0.25">
      <c r="A1705" t="s">
        <v>419</v>
      </c>
      <c r="B1705" t="s">
        <v>101</v>
      </c>
      <c r="C1705" s="5" t="str">
        <f>" кв. "&amp;B1705</f>
        <v xml:space="preserve"> кв. 97</v>
      </c>
      <c r="D1705" s="5" t="str">
        <f>CONCATENATE(A1705,C1705)</f>
        <v>Беломорская ул., дом 13 к.1 кв. 97</v>
      </c>
      <c r="E1705" s="3">
        <f>HYPERLINK("https://sao.dolgi.msk.ru/account/1404233577/", 1404233577)</f>
        <v>1404233577</v>
      </c>
      <c r="F1705">
        <v>2520.91</v>
      </c>
    </row>
    <row r="1706" spans="1:6" hidden="1" x14ac:dyDescent="0.25">
      <c r="A1706" t="s">
        <v>419</v>
      </c>
      <c r="B1706" t="s">
        <v>102</v>
      </c>
      <c r="E1706" s="3">
        <f>HYPERLINK("https://sao.dolgi.msk.ru/account/1404227329/", 1404227329)</f>
        <v>1404227329</v>
      </c>
      <c r="F1706">
        <v>0</v>
      </c>
    </row>
    <row r="1707" spans="1:6" hidden="1" x14ac:dyDescent="0.25">
      <c r="A1707" t="s">
        <v>419</v>
      </c>
      <c r="B1707" t="s">
        <v>103</v>
      </c>
      <c r="E1707" s="3">
        <f>HYPERLINK("https://sao.dolgi.msk.ru/account/1404232734/", 1404232734)</f>
        <v>1404232734</v>
      </c>
      <c r="F1707">
        <v>-2546.75</v>
      </c>
    </row>
    <row r="1708" spans="1:6" hidden="1" x14ac:dyDescent="0.25">
      <c r="A1708" t="s">
        <v>419</v>
      </c>
      <c r="B1708" t="s">
        <v>104</v>
      </c>
      <c r="E1708" s="3">
        <f>HYPERLINK("https://sao.dolgi.msk.ru/account/1404232742/", 1404232742)</f>
        <v>1404232742</v>
      </c>
      <c r="F1708">
        <v>0</v>
      </c>
    </row>
    <row r="1709" spans="1:6" hidden="1" x14ac:dyDescent="0.25">
      <c r="A1709" t="s">
        <v>419</v>
      </c>
      <c r="B1709" t="s">
        <v>105</v>
      </c>
      <c r="E1709" s="3">
        <f>HYPERLINK("https://sao.dolgi.msk.ru/account/1404230018/", 1404230018)</f>
        <v>1404230018</v>
      </c>
      <c r="F1709">
        <v>-3075.09</v>
      </c>
    </row>
    <row r="1710" spans="1:6" hidden="1" x14ac:dyDescent="0.25">
      <c r="A1710" t="s">
        <v>419</v>
      </c>
      <c r="B1710" t="s">
        <v>106</v>
      </c>
      <c r="E1710" s="3">
        <f>HYPERLINK("https://sao.dolgi.msk.ru/account/1404233737/", 1404233737)</f>
        <v>1404233737</v>
      </c>
      <c r="F1710">
        <v>-1816.48</v>
      </c>
    </row>
    <row r="1711" spans="1:6" hidden="1" x14ac:dyDescent="0.25">
      <c r="A1711" t="s">
        <v>419</v>
      </c>
      <c r="B1711" t="s">
        <v>107</v>
      </c>
      <c r="E1711" s="3">
        <f>HYPERLINK("https://sao.dolgi.msk.ru/account/1404231686/", 1404231686)</f>
        <v>1404231686</v>
      </c>
      <c r="F1711">
        <v>0</v>
      </c>
    </row>
    <row r="1712" spans="1:6" hidden="1" x14ac:dyDescent="0.25">
      <c r="A1712" t="s">
        <v>419</v>
      </c>
      <c r="B1712" t="s">
        <v>108</v>
      </c>
      <c r="E1712" s="3">
        <f>HYPERLINK("https://sao.dolgi.msk.ru/account/1404231694/", 1404231694)</f>
        <v>1404231694</v>
      </c>
      <c r="F1712">
        <v>0</v>
      </c>
    </row>
    <row r="1713" spans="1:6" x14ac:dyDescent="0.25">
      <c r="A1713" t="s">
        <v>419</v>
      </c>
      <c r="B1713" t="s">
        <v>109</v>
      </c>
      <c r="C1713" s="5" t="str">
        <f>" кв. "&amp;B1713</f>
        <v xml:space="preserve"> кв. 105</v>
      </c>
      <c r="D1713" s="5" t="str">
        <f>CONCATENATE(A1713,C1713)</f>
        <v>Беломорская ул., дом 13 к.1 кв. 105</v>
      </c>
      <c r="E1713" s="3">
        <f>HYPERLINK("https://sao.dolgi.msk.ru/account/1404230026/", 1404230026)</f>
        <v>1404230026</v>
      </c>
      <c r="F1713">
        <v>2520.9</v>
      </c>
    </row>
    <row r="1714" spans="1:6" hidden="1" x14ac:dyDescent="0.25">
      <c r="A1714" t="s">
        <v>419</v>
      </c>
      <c r="B1714" t="s">
        <v>110</v>
      </c>
      <c r="E1714" s="3">
        <f>HYPERLINK("https://sao.dolgi.msk.ru/account/1404231651/", 1404231651)</f>
        <v>1404231651</v>
      </c>
      <c r="F1714">
        <v>-1807.23</v>
      </c>
    </row>
    <row r="1715" spans="1:6" hidden="1" x14ac:dyDescent="0.25">
      <c r="A1715" t="s">
        <v>419</v>
      </c>
      <c r="B1715" t="s">
        <v>111</v>
      </c>
      <c r="E1715" s="3">
        <f>HYPERLINK("https://sao.dolgi.msk.ru/account/1404230851/", 1404230851)</f>
        <v>1404230851</v>
      </c>
      <c r="F1715">
        <v>-2523.66</v>
      </c>
    </row>
    <row r="1716" spans="1:6" hidden="1" x14ac:dyDescent="0.25">
      <c r="A1716" t="s">
        <v>419</v>
      </c>
      <c r="B1716" t="s">
        <v>112</v>
      </c>
      <c r="E1716" s="3">
        <f>HYPERLINK("https://sao.dolgi.msk.ru/account/1404227003/", 1404227003)</f>
        <v>1404227003</v>
      </c>
      <c r="F1716">
        <v>-2625.34</v>
      </c>
    </row>
    <row r="1717" spans="1:6" hidden="1" x14ac:dyDescent="0.25">
      <c r="A1717" t="s">
        <v>419</v>
      </c>
      <c r="B1717" t="s">
        <v>113</v>
      </c>
      <c r="E1717" s="3">
        <f>HYPERLINK("https://sao.dolgi.msk.ru/account/1404228866/", 1404228866)</f>
        <v>1404228866</v>
      </c>
      <c r="F1717">
        <v>0</v>
      </c>
    </row>
    <row r="1718" spans="1:6" hidden="1" x14ac:dyDescent="0.25">
      <c r="A1718" t="s">
        <v>419</v>
      </c>
      <c r="B1718" t="s">
        <v>114</v>
      </c>
      <c r="E1718" s="3">
        <f>HYPERLINK("https://sao.dolgi.msk.ru/account/1404233649/", 1404233649)</f>
        <v>1404233649</v>
      </c>
      <c r="F1718">
        <v>-1816.48</v>
      </c>
    </row>
    <row r="1719" spans="1:6" hidden="1" x14ac:dyDescent="0.25">
      <c r="A1719" t="s">
        <v>419</v>
      </c>
      <c r="B1719" t="s">
        <v>115</v>
      </c>
      <c r="E1719" s="3">
        <f>HYPERLINK("https://sao.dolgi.msk.ru/account/1404227011/", 1404227011)</f>
        <v>1404227011</v>
      </c>
      <c r="F1719">
        <v>-2542.13</v>
      </c>
    </row>
    <row r="1720" spans="1:6" x14ac:dyDescent="0.25">
      <c r="A1720" t="s">
        <v>419</v>
      </c>
      <c r="B1720" t="s">
        <v>116</v>
      </c>
      <c r="C1720" s="5" t="str">
        <f>" кв. "&amp;B1720</f>
        <v xml:space="preserve"> кв. 112</v>
      </c>
      <c r="D1720" s="5" t="str">
        <f>CONCATENATE(A1720,C1720)</f>
        <v>Беломорская ул., дом 13 к.1 кв. 112</v>
      </c>
      <c r="E1720" s="3">
        <f>HYPERLINK("https://sao.dolgi.msk.ru/account/1404231483/", 1404231483)</f>
        <v>1404231483</v>
      </c>
      <c r="F1720">
        <v>1806.07</v>
      </c>
    </row>
    <row r="1721" spans="1:6" hidden="1" x14ac:dyDescent="0.25">
      <c r="A1721" t="s">
        <v>419</v>
      </c>
      <c r="B1721" t="s">
        <v>117</v>
      </c>
      <c r="E1721" s="3">
        <f>HYPERLINK("https://sao.dolgi.msk.ru/account/1404231854/", 1404231854)</f>
        <v>1404231854</v>
      </c>
      <c r="F1721">
        <v>-3474.38</v>
      </c>
    </row>
    <row r="1722" spans="1:6" x14ac:dyDescent="0.25">
      <c r="A1722" t="s">
        <v>419</v>
      </c>
      <c r="B1722" t="s">
        <v>118</v>
      </c>
      <c r="C1722" s="5" t="str">
        <f>" кв. "&amp;B1722</f>
        <v xml:space="preserve"> кв. 114</v>
      </c>
      <c r="D1722" s="5" t="str">
        <f>CONCATENATE(A1722,C1722)</f>
        <v>Беломорская ул., дом 13 к.1 кв. 114</v>
      </c>
      <c r="E1722" s="3">
        <f>HYPERLINK("https://sao.dolgi.msk.ru/account/1404228022/", 1404228022)</f>
        <v>1404228022</v>
      </c>
      <c r="F1722">
        <v>1239.9000000000001</v>
      </c>
    </row>
    <row r="1723" spans="1:6" hidden="1" x14ac:dyDescent="0.25">
      <c r="A1723" t="s">
        <v>419</v>
      </c>
      <c r="B1723" t="s">
        <v>119</v>
      </c>
      <c r="E1723" s="3">
        <f>HYPERLINK("https://sao.dolgi.msk.ru/account/1404232697/", 1404232697)</f>
        <v>1404232697</v>
      </c>
      <c r="F1723">
        <v>-2140.89</v>
      </c>
    </row>
    <row r="1724" spans="1:6" hidden="1" x14ac:dyDescent="0.25">
      <c r="A1724" t="s">
        <v>419</v>
      </c>
      <c r="B1724" t="s">
        <v>120</v>
      </c>
      <c r="E1724" s="3">
        <f>HYPERLINK("https://sao.dolgi.msk.ru/account/1404234246/", 1404234246)</f>
        <v>1404234246</v>
      </c>
      <c r="F1724">
        <v>-2629.95</v>
      </c>
    </row>
    <row r="1725" spans="1:6" hidden="1" x14ac:dyDescent="0.25">
      <c r="A1725" t="s">
        <v>419</v>
      </c>
      <c r="B1725" t="s">
        <v>121</v>
      </c>
      <c r="E1725" s="3">
        <f>HYPERLINK("https://sao.dolgi.msk.ru/account/1404230595/", 1404230595)</f>
        <v>1404230595</v>
      </c>
      <c r="F1725">
        <v>-2306.67</v>
      </c>
    </row>
    <row r="1726" spans="1:6" hidden="1" x14ac:dyDescent="0.25">
      <c r="A1726" t="s">
        <v>419</v>
      </c>
      <c r="B1726" t="s">
        <v>122</v>
      </c>
      <c r="E1726" s="3">
        <f>HYPERLINK("https://sao.dolgi.msk.ru/account/1404232996/", 1404232996)</f>
        <v>1404232996</v>
      </c>
      <c r="F1726">
        <v>-1525.88</v>
      </c>
    </row>
    <row r="1727" spans="1:6" hidden="1" x14ac:dyDescent="0.25">
      <c r="A1727" t="s">
        <v>419</v>
      </c>
      <c r="B1727" t="s">
        <v>123</v>
      </c>
      <c r="E1727" s="3">
        <f>HYPERLINK("https://sao.dolgi.msk.ru/account/1404233673/", 1404233673)</f>
        <v>1404233673</v>
      </c>
      <c r="F1727">
        <v>0</v>
      </c>
    </row>
    <row r="1728" spans="1:6" x14ac:dyDescent="0.25">
      <c r="A1728" t="s">
        <v>419</v>
      </c>
      <c r="B1728" t="s">
        <v>124</v>
      </c>
      <c r="C1728" s="5" t="str">
        <f>" кв. "&amp;B1728</f>
        <v xml:space="preserve"> кв. 120</v>
      </c>
      <c r="D1728" s="5" t="str">
        <f>CONCATENATE(A1728,C1728)</f>
        <v>Беломорская ул., дом 13 к.1 кв. 120</v>
      </c>
      <c r="E1728" s="3">
        <f>HYPERLINK("https://sao.dolgi.msk.ru/account/1404227994/", 1404227994)</f>
        <v>1404227994</v>
      </c>
      <c r="F1728">
        <v>1345.06</v>
      </c>
    </row>
    <row r="1729" spans="1:6" hidden="1" x14ac:dyDescent="0.25">
      <c r="A1729" t="s">
        <v>419</v>
      </c>
      <c r="B1729" t="s">
        <v>125</v>
      </c>
      <c r="E1729" s="3">
        <f>HYPERLINK("https://sao.dolgi.msk.ru/account/1404228006/", 1404228006)</f>
        <v>1404228006</v>
      </c>
      <c r="F1729">
        <v>-3215.23</v>
      </c>
    </row>
    <row r="1730" spans="1:6" hidden="1" x14ac:dyDescent="0.25">
      <c r="A1730" t="s">
        <v>419</v>
      </c>
      <c r="B1730" t="s">
        <v>126</v>
      </c>
      <c r="E1730" s="3">
        <f>HYPERLINK("https://sao.dolgi.msk.ru/account/1404229236/", 1404229236)</f>
        <v>1404229236</v>
      </c>
      <c r="F1730">
        <v>-1811.86</v>
      </c>
    </row>
    <row r="1731" spans="1:6" hidden="1" x14ac:dyDescent="0.25">
      <c r="A1731" t="s">
        <v>419</v>
      </c>
      <c r="B1731" t="s">
        <v>127</v>
      </c>
      <c r="E1731" s="3">
        <f>HYPERLINK("https://sao.dolgi.msk.ru/account/1404232478/", 1404232478)</f>
        <v>1404232478</v>
      </c>
      <c r="F1731">
        <v>-2537.5100000000002</v>
      </c>
    </row>
    <row r="1732" spans="1:6" hidden="1" x14ac:dyDescent="0.25">
      <c r="A1732" t="s">
        <v>419</v>
      </c>
      <c r="B1732" t="s">
        <v>128</v>
      </c>
      <c r="E1732" s="3">
        <f>HYPERLINK("https://sao.dolgi.msk.ru/account/1404229746/", 1404229746)</f>
        <v>1404229746</v>
      </c>
      <c r="F1732">
        <v>-2629.95</v>
      </c>
    </row>
    <row r="1733" spans="1:6" x14ac:dyDescent="0.25">
      <c r="A1733" t="s">
        <v>419</v>
      </c>
      <c r="B1733" t="s">
        <v>129</v>
      </c>
      <c r="C1733" s="5" t="str">
        <f t="shared" ref="C1733:C1735" si="75">" кв. "&amp;B1733</f>
        <v xml:space="preserve"> кв. 125</v>
      </c>
      <c r="D1733" s="5" t="str">
        <f>CONCATENATE(A1733,C1733)</f>
        <v>Беломорская ул., дом 13 к.1 кв. 125</v>
      </c>
      <c r="E1733" s="3">
        <f>HYPERLINK("https://sao.dolgi.msk.ru/account/1404231491/", 1404231491)</f>
        <v>1404231491</v>
      </c>
      <c r="F1733">
        <v>2495.61</v>
      </c>
    </row>
    <row r="1734" spans="1:6" x14ac:dyDescent="0.25">
      <c r="A1734" t="s">
        <v>419</v>
      </c>
      <c r="B1734" t="s">
        <v>130</v>
      </c>
      <c r="C1734" s="5" t="str">
        <f t="shared" si="75"/>
        <v xml:space="preserve"> кв. 126</v>
      </c>
      <c r="D1734" s="5" t="str">
        <f>CONCATENATE(A1734,C1734)</f>
        <v>Беломорская ул., дом 13 к.1 кв. 126</v>
      </c>
      <c r="E1734" s="3">
        <f>HYPERLINK("https://sao.dolgi.msk.ru/account/1404227038/", 1404227038)</f>
        <v>1404227038</v>
      </c>
      <c r="F1734">
        <v>1233.57</v>
      </c>
    </row>
    <row r="1735" spans="1:6" x14ac:dyDescent="0.25">
      <c r="A1735" t="s">
        <v>419</v>
      </c>
      <c r="B1735" t="s">
        <v>131</v>
      </c>
      <c r="C1735" s="5" t="str">
        <f t="shared" si="75"/>
        <v xml:space="preserve"> кв. 127</v>
      </c>
      <c r="D1735" s="5" t="str">
        <f>CONCATENATE(A1735,C1735)</f>
        <v>Беломорская ул., дом 13 к.1 кв. 127</v>
      </c>
      <c r="E1735" s="3">
        <f>HYPERLINK("https://sao.dolgi.msk.ru/account/1404232275/", 1404232275)</f>
        <v>1404232275</v>
      </c>
      <c r="F1735">
        <v>1739.65</v>
      </c>
    </row>
    <row r="1736" spans="1:6" hidden="1" x14ac:dyDescent="0.25">
      <c r="A1736" t="s">
        <v>419</v>
      </c>
      <c r="B1736" t="s">
        <v>132</v>
      </c>
      <c r="E1736" s="3">
        <f>HYPERLINK("https://sao.dolgi.msk.ru/account/1404232283/", 1404232283)</f>
        <v>1404232283</v>
      </c>
      <c r="F1736">
        <v>-2418.16</v>
      </c>
    </row>
    <row r="1737" spans="1:6" hidden="1" x14ac:dyDescent="0.25">
      <c r="A1737" t="s">
        <v>419</v>
      </c>
      <c r="B1737" t="s">
        <v>133</v>
      </c>
      <c r="E1737" s="3">
        <f>HYPERLINK("https://sao.dolgi.msk.ru/account/1404227839/", 1404227839)</f>
        <v>1404227839</v>
      </c>
      <c r="F1737">
        <v>-3679.17</v>
      </c>
    </row>
    <row r="1738" spans="1:6" hidden="1" x14ac:dyDescent="0.25">
      <c r="A1738" t="s">
        <v>419</v>
      </c>
      <c r="B1738" t="s">
        <v>134</v>
      </c>
      <c r="E1738" s="3">
        <f>HYPERLINK("https://sao.dolgi.msk.ru/account/1404229607/", 1404229607)</f>
        <v>1404229607</v>
      </c>
      <c r="F1738">
        <v>0</v>
      </c>
    </row>
    <row r="1739" spans="1:6" hidden="1" x14ac:dyDescent="0.25">
      <c r="A1739" t="s">
        <v>419</v>
      </c>
      <c r="B1739" t="s">
        <v>135</v>
      </c>
      <c r="E1739" s="3">
        <f>HYPERLINK("https://sao.dolgi.msk.ru/account/1404230472/", 1404230472)</f>
        <v>1404230472</v>
      </c>
      <c r="F1739">
        <v>-2532.88</v>
      </c>
    </row>
    <row r="1740" spans="1:6" hidden="1" x14ac:dyDescent="0.25">
      <c r="A1740" t="s">
        <v>419</v>
      </c>
      <c r="B1740" t="s">
        <v>136</v>
      </c>
      <c r="E1740" s="3">
        <f>HYPERLINK("https://sao.dolgi.msk.ru/account/1404227353/", 1404227353)</f>
        <v>1404227353</v>
      </c>
      <c r="F1740">
        <v>-1881.18</v>
      </c>
    </row>
    <row r="1741" spans="1:6" x14ac:dyDescent="0.25">
      <c r="A1741" t="s">
        <v>419</v>
      </c>
      <c r="B1741" t="s">
        <v>137</v>
      </c>
      <c r="C1741" s="5" t="str">
        <f>" кв. "&amp;B1741</f>
        <v xml:space="preserve"> кв. 133</v>
      </c>
      <c r="D1741" s="5" t="str">
        <f>CONCATENATE(A1741,C1741)</f>
        <v>Беломорская ул., дом 13 к.1 кв. 133</v>
      </c>
      <c r="E1741" s="3">
        <f>HYPERLINK("https://sao.dolgi.msk.ru/account/1404231723/", 1404231723)</f>
        <v>1404231723</v>
      </c>
      <c r="F1741">
        <v>1660.58</v>
      </c>
    </row>
    <row r="1742" spans="1:6" hidden="1" x14ac:dyDescent="0.25">
      <c r="A1742" t="s">
        <v>419</v>
      </c>
      <c r="B1742" t="s">
        <v>138</v>
      </c>
      <c r="E1742" s="3">
        <f>HYPERLINK("https://sao.dolgi.msk.ru/account/1404230907/", 1404230907)</f>
        <v>1404230907</v>
      </c>
      <c r="F1742">
        <v>-1830.35</v>
      </c>
    </row>
    <row r="1743" spans="1:6" hidden="1" x14ac:dyDescent="0.25">
      <c r="A1743" t="s">
        <v>419</v>
      </c>
      <c r="B1743" t="s">
        <v>139</v>
      </c>
      <c r="E1743" s="3">
        <f>HYPERLINK("https://sao.dolgi.msk.ru/account/1404227361/", 1404227361)</f>
        <v>1404227361</v>
      </c>
      <c r="F1743">
        <v>-2537.5100000000002</v>
      </c>
    </row>
    <row r="1744" spans="1:6" hidden="1" x14ac:dyDescent="0.25">
      <c r="A1744" t="s">
        <v>419</v>
      </c>
      <c r="B1744" t="s">
        <v>140</v>
      </c>
      <c r="E1744" s="3">
        <f>HYPERLINK("https://sao.dolgi.msk.ru/account/1404228196/", 1404228196)</f>
        <v>1404228196</v>
      </c>
      <c r="F1744">
        <v>-592.38</v>
      </c>
    </row>
    <row r="1745" spans="1:6" hidden="1" x14ac:dyDescent="0.25">
      <c r="A1745" t="s">
        <v>419</v>
      </c>
      <c r="B1745" t="s">
        <v>141</v>
      </c>
      <c r="E1745" s="3">
        <f>HYPERLINK("https://sao.dolgi.msk.ru/account/1404227388/", 1404227388)</f>
        <v>1404227388</v>
      </c>
      <c r="F1745">
        <v>0</v>
      </c>
    </row>
    <row r="1746" spans="1:6" hidden="1" x14ac:dyDescent="0.25">
      <c r="A1746" t="s">
        <v>419</v>
      </c>
      <c r="B1746" t="s">
        <v>142</v>
      </c>
      <c r="E1746" s="3">
        <f>HYPERLINK("https://sao.dolgi.msk.ru/account/1404230069/", 1404230069)</f>
        <v>1404230069</v>
      </c>
      <c r="F1746">
        <v>-1816.48</v>
      </c>
    </row>
    <row r="1747" spans="1:6" hidden="1" x14ac:dyDescent="0.25">
      <c r="A1747" t="s">
        <v>419</v>
      </c>
      <c r="B1747" t="s">
        <v>143</v>
      </c>
      <c r="E1747" s="3">
        <f>HYPERLINK("https://sao.dolgi.msk.ru/account/1404228209/", 1404228209)</f>
        <v>1404228209</v>
      </c>
      <c r="F1747">
        <v>-1917</v>
      </c>
    </row>
    <row r="1748" spans="1:6" hidden="1" x14ac:dyDescent="0.25">
      <c r="A1748" t="s">
        <v>419</v>
      </c>
      <c r="B1748" t="s">
        <v>144</v>
      </c>
      <c r="E1748" s="3">
        <f>HYPERLINK("https://sao.dolgi.msk.ru/account/1404229105/", 1404229105)</f>
        <v>1404229105</v>
      </c>
      <c r="F1748">
        <v>-2643.82</v>
      </c>
    </row>
    <row r="1749" spans="1:6" hidden="1" x14ac:dyDescent="0.25">
      <c r="A1749" t="s">
        <v>419</v>
      </c>
      <c r="B1749" t="s">
        <v>145</v>
      </c>
      <c r="E1749" s="3">
        <f>HYPERLINK("https://sao.dolgi.msk.ru/account/1404229113/", 1404229113)</f>
        <v>1404229113</v>
      </c>
      <c r="F1749">
        <v>-3300.29</v>
      </c>
    </row>
    <row r="1750" spans="1:6" hidden="1" x14ac:dyDescent="0.25">
      <c r="A1750" t="s">
        <v>419</v>
      </c>
      <c r="B1750" t="s">
        <v>146</v>
      </c>
      <c r="E1750" s="3">
        <f>HYPERLINK("https://sao.dolgi.msk.ru/account/1404228217/", 1404228217)</f>
        <v>1404228217</v>
      </c>
      <c r="F1750">
        <v>-1821.1</v>
      </c>
    </row>
    <row r="1751" spans="1:6" hidden="1" x14ac:dyDescent="0.25">
      <c r="A1751" t="s">
        <v>419</v>
      </c>
      <c r="B1751" t="s">
        <v>147</v>
      </c>
      <c r="E1751" s="3">
        <f>HYPERLINK("https://sao.dolgi.msk.ru/account/1404229121/", 1404229121)</f>
        <v>1404229121</v>
      </c>
      <c r="F1751">
        <v>-2569.87</v>
      </c>
    </row>
    <row r="1752" spans="1:6" hidden="1" x14ac:dyDescent="0.25">
      <c r="A1752" t="s">
        <v>419</v>
      </c>
      <c r="B1752" t="s">
        <v>148</v>
      </c>
      <c r="E1752" s="3">
        <f>HYPERLINK("https://sao.dolgi.msk.ru/account/1404228612/", 1404228612)</f>
        <v>1404228612</v>
      </c>
      <c r="F1752">
        <v>-2210.96</v>
      </c>
    </row>
    <row r="1753" spans="1:6" hidden="1" x14ac:dyDescent="0.25">
      <c r="A1753" t="s">
        <v>419</v>
      </c>
      <c r="B1753" t="s">
        <v>149</v>
      </c>
      <c r="E1753" s="3">
        <f>HYPERLINK("https://sao.dolgi.msk.ru/account/1404232793/", 1404232793)</f>
        <v>1404232793</v>
      </c>
      <c r="F1753">
        <v>-3734.62</v>
      </c>
    </row>
    <row r="1754" spans="1:6" hidden="1" x14ac:dyDescent="0.25">
      <c r="A1754" t="s">
        <v>419</v>
      </c>
      <c r="B1754" t="s">
        <v>150</v>
      </c>
      <c r="E1754" s="3">
        <f>HYPERLINK("https://sao.dolgi.msk.ru/account/1404231758/", 1404231758)</f>
        <v>1404231758</v>
      </c>
      <c r="F1754">
        <v>-1816.48</v>
      </c>
    </row>
    <row r="1755" spans="1:6" hidden="1" x14ac:dyDescent="0.25">
      <c r="A1755" t="s">
        <v>419</v>
      </c>
      <c r="B1755" t="s">
        <v>151</v>
      </c>
      <c r="E1755" s="3">
        <f>HYPERLINK("https://sao.dolgi.msk.ru/account/1404230966/", 1404230966)</f>
        <v>1404230966</v>
      </c>
      <c r="F1755">
        <v>-1784.11</v>
      </c>
    </row>
    <row r="1756" spans="1:6" hidden="1" x14ac:dyDescent="0.25">
      <c r="A1756" t="s">
        <v>419</v>
      </c>
      <c r="B1756" t="s">
        <v>152</v>
      </c>
      <c r="E1756" s="3">
        <f>HYPERLINK("https://sao.dolgi.msk.ru/account/1404229471/", 1404229471)</f>
        <v>1404229471</v>
      </c>
      <c r="F1756">
        <v>-2625.34</v>
      </c>
    </row>
    <row r="1757" spans="1:6" hidden="1" x14ac:dyDescent="0.25">
      <c r="A1757" t="s">
        <v>419</v>
      </c>
      <c r="B1757" t="s">
        <v>153</v>
      </c>
      <c r="E1757" s="3">
        <f>HYPERLINK("https://sao.dolgi.msk.ru/account/1404229228/", 1404229228)</f>
        <v>1404229228</v>
      </c>
      <c r="F1757">
        <v>-3447.67</v>
      </c>
    </row>
    <row r="1758" spans="1:6" hidden="1" x14ac:dyDescent="0.25">
      <c r="A1758" t="s">
        <v>419</v>
      </c>
      <c r="B1758" t="s">
        <v>154</v>
      </c>
      <c r="E1758" s="3">
        <f>HYPERLINK("https://sao.dolgi.msk.ru/account/1404230843/", 1404230843)</f>
        <v>1404230843</v>
      </c>
      <c r="F1758">
        <v>-915.18</v>
      </c>
    </row>
    <row r="1759" spans="1:6" hidden="1" x14ac:dyDescent="0.25">
      <c r="A1759" t="s">
        <v>419</v>
      </c>
      <c r="B1759" t="s">
        <v>155</v>
      </c>
      <c r="E1759" s="3">
        <f>HYPERLINK("https://sao.dolgi.msk.ru/account/1404233921/", 1404233921)</f>
        <v>1404233921</v>
      </c>
      <c r="F1759">
        <v>0</v>
      </c>
    </row>
    <row r="1760" spans="1:6" hidden="1" x14ac:dyDescent="0.25">
      <c r="A1760" t="s">
        <v>419</v>
      </c>
      <c r="B1760" t="s">
        <v>156</v>
      </c>
      <c r="E1760" s="3">
        <f>HYPERLINK("https://sao.dolgi.msk.ru/account/1404227046/", 1404227046)</f>
        <v>1404227046</v>
      </c>
      <c r="F1760">
        <v>-1871.93</v>
      </c>
    </row>
    <row r="1761" spans="1:6" x14ac:dyDescent="0.25">
      <c r="A1761" t="s">
        <v>419</v>
      </c>
      <c r="B1761" t="s">
        <v>157</v>
      </c>
      <c r="C1761" s="5" t="str">
        <f>" кв. "&amp;B1761</f>
        <v xml:space="preserve"> кв. 153</v>
      </c>
      <c r="D1761" s="5" t="str">
        <f>CONCATENATE(A1761,C1761)</f>
        <v>Беломорская ул., дом 13 к.1 кв. 153</v>
      </c>
      <c r="E1761" s="3">
        <f>HYPERLINK("https://sao.dolgi.msk.ru/account/1404227986/", 1404227986)</f>
        <v>1404227986</v>
      </c>
      <c r="F1761">
        <v>2511.42</v>
      </c>
    </row>
    <row r="1762" spans="1:6" hidden="1" x14ac:dyDescent="0.25">
      <c r="A1762" t="s">
        <v>419</v>
      </c>
      <c r="B1762" t="s">
        <v>158</v>
      </c>
      <c r="E1762" s="3">
        <f>HYPERLINK("https://sao.dolgi.msk.ru/account/1404229738/", 1404229738)</f>
        <v>1404229738</v>
      </c>
      <c r="F1762">
        <v>-1816.48</v>
      </c>
    </row>
    <row r="1763" spans="1:6" hidden="1" x14ac:dyDescent="0.25">
      <c r="A1763" t="s">
        <v>419</v>
      </c>
      <c r="B1763" t="s">
        <v>159</v>
      </c>
      <c r="E1763" s="3">
        <f>HYPERLINK("https://sao.dolgi.msk.ru/account/1404233657/", 1404233657)</f>
        <v>1404233657</v>
      </c>
      <c r="F1763">
        <v>-2519.04</v>
      </c>
    </row>
    <row r="1764" spans="1:6" hidden="1" x14ac:dyDescent="0.25">
      <c r="A1764" t="s">
        <v>419</v>
      </c>
      <c r="B1764" t="s">
        <v>160</v>
      </c>
      <c r="E1764" s="3">
        <f>HYPERLINK("https://sao.dolgi.msk.ru/account/1404228874/", 1404228874)</f>
        <v>1404228874</v>
      </c>
      <c r="F1764">
        <v>0</v>
      </c>
    </row>
    <row r="1765" spans="1:6" hidden="1" x14ac:dyDescent="0.25">
      <c r="A1765" t="s">
        <v>419</v>
      </c>
      <c r="B1765" t="s">
        <v>161</v>
      </c>
      <c r="E1765" s="3">
        <f>HYPERLINK("https://sao.dolgi.msk.ru/account/1404231811/", 1404231811)</f>
        <v>1404231811</v>
      </c>
      <c r="F1765">
        <v>-3711.53</v>
      </c>
    </row>
    <row r="1766" spans="1:6" hidden="1" x14ac:dyDescent="0.25">
      <c r="A1766" t="s">
        <v>419</v>
      </c>
      <c r="B1766" t="s">
        <v>162</v>
      </c>
      <c r="E1766" s="3">
        <f>HYPERLINK("https://sao.dolgi.msk.ru/account/1404231248/", 1404231248)</f>
        <v>1404231248</v>
      </c>
      <c r="F1766">
        <v>-954.21</v>
      </c>
    </row>
    <row r="1767" spans="1:6" x14ac:dyDescent="0.25">
      <c r="A1767" t="s">
        <v>419</v>
      </c>
      <c r="B1767" t="s">
        <v>163</v>
      </c>
      <c r="C1767" s="5" t="str">
        <f>" кв. "&amp;B1767</f>
        <v xml:space="preserve"> кв. 159</v>
      </c>
      <c r="D1767" s="5" t="str">
        <f>CONCATENATE(A1767,C1767)</f>
        <v>Беломорская ул., дом 13 к.1 кв. 159</v>
      </c>
      <c r="E1767" s="3">
        <f>HYPERLINK("https://sao.dolgi.msk.ru/account/1404234019/", 1404234019)</f>
        <v>1404234019</v>
      </c>
      <c r="F1767">
        <v>1736.49</v>
      </c>
    </row>
    <row r="1768" spans="1:6" hidden="1" x14ac:dyDescent="0.25">
      <c r="A1768" t="s">
        <v>419</v>
      </c>
      <c r="B1768" t="s">
        <v>164</v>
      </c>
      <c r="E1768" s="3">
        <f>HYPERLINK("https://sao.dolgi.msk.ru/account/1404229527/", 1404229527)</f>
        <v>1404229527</v>
      </c>
      <c r="F1768">
        <v>-2634.57</v>
      </c>
    </row>
    <row r="1769" spans="1:6" hidden="1" x14ac:dyDescent="0.25">
      <c r="A1769" t="s">
        <v>419</v>
      </c>
      <c r="B1769" t="s">
        <v>165</v>
      </c>
      <c r="E1769" s="3">
        <f>HYPERLINK("https://sao.dolgi.msk.ru/account/1404229535/", 1404229535)</f>
        <v>1404229535</v>
      </c>
      <c r="F1769">
        <v>-3669.92</v>
      </c>
    </row>
    <row r="1770" spans="1:6" hidden="1" x14ac:dyDescent="0.25">
      <c r="A1770" t="s">
        <v>419</v>
      </c>
      <c r="B1770" t="s">
        <v>166</v>
      </c>
      <c r="E1770" s="3">
        <f>HYPERLINK("https://sao.dolgi.msk.ru/account/1404233358/", 1404233358)</f>
        <v>1404233358</v>
      </c>
      <c r="F1770">
        <v>-1797.99</v>
      </c>
    </row>
    <row r="1771" spans="1:6" hidden="1" x14ac:dyDescent="0.25">
      <c r="A1771" t="s">
        <v>419</v>
      </c>
      <c r="B1771" t="s">
        <v>167</v>
      </c>
      <c r="E1771" s="3">
        <f>HYPERLINK("https://sao.dolgi.msk.ru/account/1404234529/", 1404234529)</f>
        <v>1404234529</v>
      </c>
      <c r="F1771">
        <v>-1583.96</v>
      </c>
    </row>
    <row r="1772" spans="1:6" x14ac:dyDescent="0.25">
      <c r="A1772" t="s">
        <v>419</v>
      </c>
      <c r="B1772" t="s">
        <v>168</v>
      </c>
      <c r="C1772" s="5" t="str">
        <f>" кв. "&amp;B1772</f>
        <v xml:space="preserve"> кв. 164</v>
      </c>
      <c r="D1772" s="5" t="str">
        <f>CONCATENATE(A1772,C1772)</f>
        <v>Беломорская ул., дом 13 к.1 кв. 164</v>
      </c>
      <c r="E1772" s="3">
        <f>HYPERLINK("https://sao.dolgi.msk.ru/account/1404230421/", 1404230421)</f>
        <v>1404230421</v>
      </c>
      <c r="F1772">
        <v>1787.1</v>
      </c>
    </row>
    <row r="1773" spans="1:6" hidden="1" x14ac:dyDescent="0.25">
      <c r="A1773" t="s">
        <v>419</v>
      </c>
      <c r="B1773" t="s">
        <v>169</v>
      </c>
      <c r="E1773" s="3">
        <f>HYPERLINK("https://sao.dolgi.msk.ru/account/1404233366/", 1404233366)</f>
        <v>1404233366</v>
      </c>
      <c r="F1773">
        <v>0</v>
      </c>
    </row>
    <row r="1774" spans="1:6" x14ac:dyDescent="0.25">
      <c r="A1774" t="s">
        <v>419</v>
      </c>
      <c r="B1774" t="s">
        <v>170</v>
      </c>
      <c r="C1774" s="5" t="str">
        <f>" кв. "&amp;B1774</f>
        <v xml:space="preserve"> кв. 166</v>
      </c>
      <c r="D1774" s="5" t="str">
        <f>CONCATENATE(A1774,C1774)</f>
        <v>Беломорская ул., дом 13 к.1 кв. 166</v>
      </c>
      <c r="E1774" s="3">
        <f>HYPERLINK("https://sao.dolgi.msk.ru/account/1404229543/", 1404229543)</f>
        <v>1404229543</v>
      </c>
      <c r="F1774">
        <v>1239.9000000000001</v>
      </c>
    </row>
    <row r="1775" spans="1:6" hidden="1" x14ac:dyDescent="0.25">
      <c r="A1775" t="s">
        <v>419</v>
      </c>
      <c r="B1775" t="s">
        <v>171</v>
      </c>
      <c r="E1775" s="3">
        <f>HYPERLINK("https://sao.dolgi.msk.ru/account/1404231272/", 1404231272)</f>
        <v>1404231272</v>
      </c>
      <c r="F1775">
        <v>-802.48</v>
      </c>
    </row>
    <row r="1776" spans="1:6" hidden="1" x14ac:dyDescent="0.25">
      <c r="A1776" t="s">
        <v>419</v>
      </c>
      <c r="B1776" t="s">
        <v>172</v>
      </c>
      <c r="E1776" s="3">
        <f>HYPERLINK("https://sao.dolgi.msk.ru/account/1404229551/", 1404229551)</f>
        <v>1404229551</v>
      </c>
      <c r="F1776">
        <v>-2616.1</v>
      </c>
    </row>
    <row r="1777" spans="1:6" hidden="1" x14ac:dyDescent="0.25">
      <c r="A1777" t="s">
        <v>419</v>
      </c>
      <c r="B1777" t="s">
        <v>173</v>
      </c>
      <c r="E1777" s="3">
        <f>HYPERLINK("https://sao.dolgi.msk.ru/account/1404227054/", 1404227054)</f>
        <v>1404227054</v>
      </c>
      <c r="F1777">
        <v>-3711.53</v>
      </c>
    </row>
    <row r="1778" spans="1:6" hidden="1" x14ac:dyDescent="0.25">
      <c r="A1778" t="s">
        <v>419</v>
      </c>
      <c r="B1778" t="s">
        <v>174</v>
      </c>
      <c r="E1778" s="3">
        <f>HYPERLINK("https://sao.dolgi.msk.ru/account/1404229789/", 1404229789)</f>
        <v>1404229789</v>
      </c>
      <c r="F1778">
        <v>-1072.33</v>
      </c>
    </row>
    <row r="1779" spans="1:6" hidden="1" x14ac:dyDescent="0.25">
      <c r="A1779" t="s">
        <v>419</v>
      </c>
      <c r="B1779" t="s">
        <v>175</v>
      </c>
      <c r="E1779" s="3">
        <f>HYPERLINK("https://sao.dolgi.msk.ru/account/1404231504/", 1404231504)</f>
        <v>1404231504</v>
      </c>
      <c r="F1779">
        <v>-571.96</v>
      </c>
    </row>
    <row r="1780" spans="1:6" hidden="1" x14ac:dyDescent="0.25">
      <c r="A1780" t="s">
        <v>419</v>
      </c>
      <c r="B1780" t="s">
        <v>176</v>
      </c>
      <c r="E1780" s="3">
        <f>HYPERLINK("https://sao.dolgi.msk.ru/account/1404230616/", 1404230616)</f>
        <v>1404230616</v>
      </c>
      <c r="F1780">
        <v>0</v>
      </c>
    </row>
    <row r="1781" spans="1:6" x14ac:dyDescent="0.25">
      <c r="A1781" t="s">
        <v>419</v>
      </c>
      <c r="B1781" t="s">
        <v>177</v>
      </c>
      <c r="C1781" s="5" t="str">
        <f>" кв. "&amp;B1781</f>
        <v xml:space="preserve"> кв. 173</v>
      </c>
      <c r="D1781" s="5" t="str">
        <f>CONCATENATE(A1781,C1781)</f>
        <v>Беломорская ул., дом 13 к.1 кв. 173</v>
      </c>
      <c r="E1781" s="3">
        <f>HYPERLINK("https://sao.dolgi.msk.ru/account/1404232814/", 1404232814)</f>
        <v>1404232814</v>
      </c>
      <c r="F1781">
        <v>2530.4</v>
      </c>
    </row>
    <row r="1782" spans="1:6" hidden="1" x14ac:dyDescent="0.25">
      <c r="A1782" t="s">
        <v>419</v>
      </c>
      <c r="B1782" t="s">
        <v>178</v>
      </c>
      <c r="E1782" s="3">
        <f>HYPERLINK("https://sao.dolgi.msk.ru/account/1404229797/", 1404229797)</f>
        <v>1404229797</v>
      </c>
      <c r="F1782">
        <v>-1821.1</v>
      </c>
    </row>
    <row r="1783" spans="1:6" x14ac:dyDescent="0.25">
      <c r="A1783" t="s">
        <v>419</v>
      </c>
      <c r="B1783" t="s">
        <v>179</v>
      </c>
      <c r="C1783" s="5" t="str">
        <f>" кв. "&amp;B1783</f>
        <v xml:space="preserve"> кв. 175</v>
      </c>
      <c r="D1783" s="5" t="str">
        <f>CONCATENATE(A1783,C1783)</f>
        <v>Беломорская ул., дом 13 к.1 кв. 175</v>
      </c>
      <c r="E1783" s="3">
        <f>HYPERLINK("https://sao.dolgi.msk.ru/account/1404230317/", 1404230317)</f>
        <v>1404230317</v>
      </c>
      <c r="F1783">
        <v>1745.98</v>
      </c>
    </row>
    <row r="1784" spans="1:6" hidden="1" x14ac:dyDescent="0.25">
      <c r="A1784" t="s">
        <v>419</v>
      </c>
      <c r="B1784" t="s">
        <v>180</v>
      </c>
      <c r="E1784" s="3">
        <f>HYPERLINK("https://sao.dolgi.msk.ru/account/1404232507/", 1404232507)</f>
        <v>1404232507</v>
      </c>
      <c r="F1784">
        <v>0</v>
      </c>
    </row>
    <row r="1785" spans="1:6" hidden="1" x14ac:dyDescent="0.25">
      <c r="A1785" t="s">
        <v>419</v>
      </c>
      <c r="B1785" t="s">
        <v>181</v>
      </c>
      <c r="E1785" s="3">
        <f>HYPERLINK("https://sao.dolgi.msk.ru/account/1404227062/", 1404227062)</f>
        <v>1404227062</v>
      </c>
      <c r="F1785">
        <v>0</v>
      </c>
    </row>
    <row r="1786" spans="1:6" hidden="1" x14ac:dyDescent="0.25">
      <c r="A1786" t="s">
        <v>419</v>
      </c>
      <c r="B1786" t="s">
        <v>182</v>
      </c>
      <c r="E1786" s="3">
        <f>HYPERLINK("https://sao.dolgi.msk.ru/account/1404227089/", 1404227089)</f>
        <v>1404227089</v>
      </c>
      <c r="F1786">
        <v>-1830.35</v>
      </c>
    </row>
    <row r="1787" spans="1:6" hidden="1" x14ac:dyDescent="0.25">
      <c r="A1787" t="s">
        <v>419</v>
      </c>
      <c r="B1787" t="s">
        <v>183</v>
      </c>
      <c r="E1787" s="3">
        <f>HYPERLINK("https://sao.dolgi.msk.ru/account/1404228882/", 1404228882)</f>
        <v>1404228882</v>
      </c>
      <c r="F1787">
        <v>-2542.13</v>
      </c>
    </row>
    <row r="1788" spans="1:6" hidden="1" x14ac:dyDescent="0.25">
      <c r="A1788" t="s">
        <v>419</v>
      </c>
      <c r="B1788" t="s">
        <v>184</v>
      </c>
      <c r="E1788" s="3">
        <f>HYPERLINK("https://sao.dolgi.msk.ru/account/1404229615/", 1404229615)</f>
        <v>1404229615</v>
      </c>
      <c r="F1788">
        <v>-2226.52</v>
      </c>
    </row>
    <row r="1789" spans="1:6" hidden="1" x14ac:dyDescent="0.25">
      <c r="A1789" t="s">
        <v>419</v>
      </c>
      <c r="B1789" t="s">
        <v>185</v>
      </c>
      <c r="E1789" s="3">
        <f>HYPERLINK("https://sao.dolgi.msk.ru/account/1404230499/", 1404230499)</f>
        <v>1404230499</v>
      </c>
      <c r="F1789">
        <v>0</v>
      </c>
    </row>
    <row r="1790" spans="1:6" hidden="1" x14ac:dyDescent="0.25">
      <c r="A1790" t="s">
        <v>419</v>
      </c>
      <c r="B1790" t="s">
        <v>186</v>
      </c>
      <c r="E1790" s="3">
        <f>HYPERLINK("https://sao.dolgi.msk.ru/account/1404234123/", 1404234123)</f>
        <v>1404234123</v>
      </c>
      <c r="F1790">
        <v>-1821.1</v>
      </c>
    </row>
    <row r="1791" spans="1:6" x14ac:dyDescent="0.25">
      <c r="A1791" t="s">
        <v>419</v>
      </c>
      <c r="B1791" t="s">
        <v>187</v>
      </c>
      <c r="C1791" s="5" t="str">
        <f>" кв. "&amp;B1791</f>
        <v xml:space="preserve"> кв. 183</v>
      </c>
      <c r="D1791" s="5" t="str">
        <f>CONCATENATE(A1791,C1791)</f>
        <v>Беломорская ул., дом 13 к.1 кв. 183</v>
      </c>
      <c r="E1791" s="3">
        <f>HYPERLINK("https://sao.dolgi.msk.ru/account/1404233016/", 1404233016)</f>
        <v>1404233016</v>
      </c>
      <c r="F1791">
        <v>1745.98</v>
      </c>
    </row>
    <row r="1792" spans="1:6" hidden="1" x14ac:dyDescent="0.25">
      <c r="A1792" t="s">
        <v>419</v>
      </c>
      <c r="B1792" t="s">
        <v>188</v>
      </c>
      <c r="E1792" s="3">
        <f>HYPERLINK("https://sao.dolgi.msk.ru/account/1404231731/", 1404231731)</f>
        <v>1404231731</v>
      </c>
      <c r="F1792">
        <v>-2643.82</v>
      </c>
    </row>
    <row r="1793" spans="1:6" hidden="1" x14ac:dyDescent="0.25">
      <c r="A1793" t="s">
        <v>419</v>
      </c>
      <c r="B1793" t="s">
        <v>189</v>
      </c>
      <c r="E1793" s="3">
        <f>HYPERLINK("https://sao.dolgi.msk.ru/account/1404232785/", 1404232785)</f>
        <v>1404232785</v>
      </c>
      <c r="F1793">
        <v>0</v>
      </c>
    </row>
    <row r="1794" spans="1:6" hidden="1" x14ac:dyDescent="0.25">
      <c r="A1794" t="s">
        <v>419</v>
      </c>
      <c r="B1794" t="s">
        <v>190</v>
      </c>
      <c r="E1794" s="3">
        <f>HYPERLINK("https://sao.dolgi.msk.ru/account/1404230077/", 1404230077)</f>
        <v>1404230077</v>
      </c>
      <c r="F1794">
        <v>-1647.73</v>
      </c>
    </row>
    <row r="1795" spans="1:6" hidden="1" x14ac:dyDescent="0.25">
      <c r="A1795" t="s">
        <v>419</v>
      </c>
      <c r="B1795" t="s">
        <v>191</v>
      </c>
      <c r="E1795" s="3">
        <f>HYPERLINK("https://sao.dolgi.msk.ru/account/1404228225/", 1404228225)</f>
        <v>1404228225</v>
      </c>
      <c r="F1795">
        <v>0</v>
      </c>
    </row>
    <row r="1796" spans="1:6" hidden="1" x14ac:dyDescent="0.25">
      <c r="A1796" t="s">
        <v>419</v>
      </c>
      <c r="B1796" t="s">
        <v>192</v>
      </c>
      <c r="E1796" s="3">
        <f>HYPERLINK("https://sao.dolgi.msk.ru/account/1404228292/", 1404228292)</f>
        <v>1404228292</v>
      </c>
      <c r="F1796">
        <v>-2685.42</v>
      </c>
    </row>
    <row r="1797" spans="1:6" hidden="1" x14ac:dyDescent="0.25">
      <c r="A1797" t="s">
        <v>419</v>
      </c>
      <c r="B1797" t="s">
        <v>193</v>
      </c>
      <c r="E1797" s="3">
        <f>HYPERLINK("https://sao.dolgi.msk.ru/account/1404227425/", 1404227425)</f>
        <v>1404227425</v>
      </c>
      <c r="F1797">
        <v>0</v>
      </c>
    </row>
    <row r="1798" spans="1:6" hidden="1" x14ac:dyDescent="0.25">
      <c r="A1798" t="s">
        <v>419</v>
      </c>
      <c r="B1798" t="s">
        <v>194</v>
      </c>
      <c r="E1798" s="3">
        <f>HYPERLINK("https://sao.dolgi.msk.ru/account/1404233331/", 1404233331)</f>
        <v>1404233331</v>
      </c>
      <c r="F1798">
        <v>-1876.56</v>
      </c>
    </row>
    <row r="1799" spans="1:6" hidden="1" x14ac:dyDescent="0.25">
      <c r="A1799" t="s">
        <v>419</v>
      </c>
      <c r="B1799" t="s">
        <v>195</v>
      </c>
      <c r="E1799" s="3">
        <f>HYPERLINK("https://sao.dolgi.msk.ru/account/1404227783/", 1404227783)</f>
        <v>1404227783</v>
      </c>
      <c r="F1799">
        <v>-3110.14</v>
      </c>
    </row>
    <row r="1800" spans="1:6" x14ac:dyDescent="0.25">
      <c r="A1800" t="s">
        <v>419</v>
      </c>
      <c r="B1800" t="s">
        <v>196</v>
      </c>
      <c r="C1800" s="5" t="str">
        <f>" кв. "&amp;B1800</f>
        <v xml:space="preserve"> кв. 192</v>
      </c>
      <c r="D1800" s="5" t="str">
        <f>CONCATENATE(A1800,C1800)</f>
        <v>Беломорская ул., дом 13 к.1 кв. 192</v>
      </c>
      <c r="E1800" s="3">
        <f>HYPERLINK("https://sao.dolgi.msk.ru/account/1404234502/", 1404234502)</f>
        <v>1404234502</v>
      </c>
      <c r="F1800">
        <v>1799.75</v>
      </c>
    </row>
    <row r="1801" spans="1:6" hidden="1" x14ac:dyDescent="0.25">
      <c r="A1801" t="s">
        <v>419</v>
      </c>
      <c r="B1801" t="s">
        <v>197</v>
      </c>
      <c r="E1801" s="3">
        <f>HYPERLINK("https://sao.dolgi.msk.ru/account/1404231256/", 1404231256)</f>
        <v>1404231256</v>
      </c>
      <c r="F1801">
        <v>-1666.22</v>
      </c>
    </row>
    <row r="1802" spans="1:6" hidden="1" x14ac:dyDescent="0.25">
      <c r="A1802" t="s">
        <v>419</v>
      </c>
      <c r="B1802" t="s">
        <v>198</v>
      </c>
      <c r="E1802" s="3">
        <f>HYPERLINK("https://sao.dolgi.msk.ru/account/1404231264/", 1404231264)</f>
        <v>1404231264</v>
      </c>
      <c r="F1802">
        <v>-1525.88</v>
      </c>
    </row>
    <row r="1803" spans="1:6" x14ac:dyDescent="0.25">
      <c r="A1803" t="s">
        <v>419</v>
      </c>
      <c r="B1803" t="s">
        <v>199</v>
      </c>
      <c r="C1803" s="5" t="str">
        <f>" кв. "&amp;B1803</f>
        <v xml:space="preserve"> кв. 195</v>
      </c>
      <c r="D1803" s="5" t="str">
        <f>CONCATENATE(A1803,C1803)</f>
        <v>Беломорская ул., дом 13 к.1 кв. 195</v>
      </c>
      <c r="E1803" s="3">
        <f>HYPERLINK("https://sao.dolgi.msk.ru/account/1404230608/", 1404230608)</f>
        <v>1404230608</v>
      </c>
      <c r="F1803">
        <v>2517.75</v>
      </c>
    </row>
    <row r="1804" spans="1:6" hidden="1" x14ac:dyDescent="0.25">
      <c r="A1804" t="s">
        <v>419</v>
      </c>
      <c r="B1804" t="s">
        <v>200</v>
      </c>
      <c r="E1804" s="3">
        <f>HYPERLINK("https://sao.dolgi.msk.ru/account/1404232494/", 1404232494)</f>
        <v>1404232494</v>
      </c>
      <c r="F1804">
        <v>-2639.19</v>
      </c>
    </row>
    <row r="1805" spans="1:6" hidden="1" x14ac:dyDescent="0.25">
      <c r="A1805" t="s">
        <v>419</v>
      </c>
      <c r="B1805" t="s">
        <v>201</v>
      </c>
      <c r="E1805" s="3">
        <f>HYPERLINK("https://sao.dolgi.msk.ru/account/1404229754/", 1404229754)</f>
        <v>1404229754</v>
      </c>
      <c r="F1805">
        <v>-2542.13</v>
      </c>
    </row>
    <row r="1806" spans="1:6" hidden="1" x14ac:dyDescent="0.25">
      <c r="A1806" t="s">
        <v>419</v>
      </c>
      <c r="B1806" t="s">
        <v>202</v>
      </c>
      <c r="E1806" s="3">
        <f>HYPERLINK("https://sao.dolgi.msk.ru/account/1404229762/", 1404229762)</f>
        <v>1404229762</v>
      </c>
      <c r="F1806">
        <v>0</v>
      </c>
    </row>
    <row r="1807" spans="1:6" hidden="1" x14ac:dyDescent="0.25">
      <c r="A1807" t="s">
        <v>419</v>
      </c>
      <c r="B1807" t="s">
        <v>203</v>
      </c>
      <c r="E1807" s="3">
        <f>HYPERLINK("https://sao.dolgi.msk.ru/account/1404232515/", 1404232515)</f>
        <v>1404232515</v>
      </c>
      <c r="F1807">
        <v>0</v>
      </c>
    </row>
    <row r="1808" spans="1:6" hidden="1" x14ac:dyDescent="0.25">
      <c r="A1808" t="s">
        <v>419</v>
      </c>
      <c r="B1808" t="s">
        <v>204</v>
      </c>
      <c r="E1808" s="3">
        <f>HYPERLINK("https://sao.dolgi.msk.ru/account/1404233665/", 1404233665)</f>
        <v>1404233665</v>
      </c>
      <c r="F1808">
        <v>-1848.84</v>
      </c>
    </row>
    <row r="1809" spans="1:6" hidden="1" x14ac:dyDescent="0.25">
      <c r="A1809" t="s">
        <v>419</v>
      </c>
      <c r="B1809" t="s">
        <v>205</v>
      </c>
      <c r="E1809" s="3">
        <f>HYPERLINK("https://sao.dolgi.msk.ru/account/1404229818/", 1404229818)</f>
        <v>1404229818</v>
      </c>
      <c r="F1809">
        <v>0</v>
      </c>
    </row>
    <row r="1810" spans="1:6" hidden="1" x14ac:dyDescent="0.25">
      <c r="A1810" t="s">
        <v>419</v>
      </c>
      <c r="B1810" t="s">
        <v>206</v>
      </c>
      <c r="E1810" s="3">
        <f>HYPERLINK("https://sao.dolgi.msk.ru/account/1404230624/", 1404230624)</f>
        <v>1404230624</v>
      </c>
      <c r="F1810">
        <v>-1816.48</v>
      </c>
    </row>
    <row r="1811" spans="1:6" hidden="1" x14ac:dyDescent="0.25">
      <c r="A1811" t="s">
        <v>419</v>
      </c>
      <c r="B1811" t="s">
        <v>207</v>
      </c>
      <c r="E1811" s="3">
        <f>HYPERLINK("https://sao.dolgi.msk.ru/account/1404231926/", 1404231926)</f>
        <v>1404231926</v>
      </c>
      <c r="F1811">
        <v>-3231.42</v>
      </c>
    </row>
    <row r="1812" spans="1:6" x14ac:dyDescent="0.25">
      <c r="A1812" t="s">
        <v>419</v>
      </c>
      <c r="B1812" t="s">
        <v>208</v>
      </c>
      <c r="C1812" s="5" t="str">
        <f>" кв. "&amp;B1812</f>
        <v xml:space="preserve"> кв. 204</v>
      </c>
      <c r="D1812" s="5" t="str">
        <f>CONCATENATE(A1812,C1812)</f>
        <v>Беломорская ул., дом 13 к.1 кв. 204</v>
      </c>
      <c r="E1812" s="3">
        <f>HYPERLINK("https://sao.dolgi.msk.ru/account/1404234158/", 1404234158)</f>
        <v>1404234158</v>
      </c>
      <c r="F1812">
        <v>1790.26</v>
      </c>
    </row>
    <row r="1813" spans="1:6" hidden="1" x14ac:dyDescent="0.25">
      <c r="A1813" t="s">
        <v>419</v>
      </c>
      <c r="B1813" t="s">
        <v>209</v>
      </c>
      <c r="E1813" s="3">
        <f>HYPERLINK("https://sao.dolgi.msk.ru/account/1404231942/", 1404231942)</f>
        <v>1404231942</v>
      </c>
      <c r="F1813">
        <v>-1788.74</v>
      </c>
    </row>
    <row r="1814" spans="1:6" hidden="1" x14ac:dyDescent="0.25">
      <c r="A1814" t="s">
        <v>419</v>
      </c>
      <c r="B1814" t="s">
        <v>210</v>
      </c>
      <c r="E1814" s="3">
        <f>HYPERLINK("https://sao.dolgi.msk.ru/account/1404232013/", 1404232013)</f>
        <v>1404232013</v>
      </c>
      <c r="F1814">
        <v>0</v>
      </c>
    </row>
    <row r="1815" spans="1:6" hidden="1" x14ac:dyDescent="0.25">
      <c r="A1815" t="s">
        <v>419</v>
      </c>
      <c r="B1815" t="s">
        <v>211</v>
      </c>
      <c r="E1815" s="3">
        <f>HYPERLINK("https://sao.dolgi.msk.ru/account/1404232021/", 1404232021)</f>
        <v>1404232021</v>
      </c>
      <c r="F1815">
        <v>-2411.17</v>
      </c>
    </row>
    <row r="1816" spans="1:6" hidden="1" x14ac:dyDescent="0.25">
      <c r="A1816" t="s">
        <v>419</v>
      </c>
      <c r="B1816" t="s">
        <v>212</v>
      </c>
      <c r="E1816" s="3">
        <f>HYPERLINK("https://sao.dolgi.msk.ru/account/1404232056/", 1404232056)</f>
        <v>1404232056</v>
      </c>
      <c r="F1816">
        <v>-1617.32</v>
      </c>
    </row>
    <row r="1817" spans="1:6" hidden="1" x14ac:dyDescent="0.25">
      <c r="A1817" t="s">
        <v>419</v>
      </c>
      <c r="B1817" t="s">
        <v>213</v>
      </c>
      <c r="E1817" s="3">
        <f>HYPERLINK("https://sao.dolgi.msk.ru/account/1404228436/", 1404228436)</f>
        <v>1404228436</v>
      </c>
      <c r="F1817">
        <v>0</v>
      </c>
    </row>
    <row r="1818" spans="1:6" hidden="1" x14ac:dyDescent="0.25">
      <c r="A1818" t="s">
        <v>419</v>
      </c>
      <c r="B1818" t="s">
        <v>214</v>
      </c>
      <c r="E1818" s="3">
        <f>HYPERLINK("https://sao.dolgi.msk.ru/account/1404229885/", 1404229885)</f>
        <v>1404229885</v>
      </c>
      <c r="F1818">
        <v>-1816.48</v>
      </c>
    </row>
    <row r="1819" spans="1:6" hidden="1" x14ac:dyDescent="0.25">
      <c r="A1819" t="s">
        <v>419</v>
      </c>
      <c r="B1819" t="s">
        <v>215</v>
      </c>
      <c r="E1819" s="3">
        <f>HYPERLINK("https://sao.dolgi.msk.ru/account/1404230691/", 1404230691)</f>
        <v>1404230691</v>
      </c>
      <c r="F1819">
        <v>0</v>
      </c>
    </row>
    <row r="1820" spans="1:6" hidden="1" x14ac:dyDescent="0.25">
      <c r="A1820" t="s">
        <v>419</v>
      </c>
      <c r="B1820" t="s">
        <v>216</v>
      </c>
      <c r="E1820" s="3">
        <f>HYPERLINK("https://sao.dolgi.msk.ru/account/1404228065/", 1404228065)</f>
        <v>1404228065</v>
      </c>
      <c r="F1820">
        <v>-1562.29</v>
      </c>
    </row>
    <row r="1821" spans="1:6" hidden="1" x14ac:dyDescent="0.25">
      <c r="A1821" t="s">
        <v>419</v>
      </c>
      <c r="B1821" t="s">
        <v>217</v>
      </c>
      <c r="E1821" s="3">
        <f>HYPERLINK("https://sao.dolgi.msk.ru/account/1404227193/", 1404227193)</f>
        <v>1404227193</v>
      </c>
      <c r="F1821">
        <v>-1793.36</v>
      </c>
    </row>
    <row r="1822" spans="1:6" hidden="1" x14ac:dyDescent="0.25">
      <c r="A1822" t="s">
        <v>419</v>
      </c>
      <c r="B1822" t="s">
        <v>218</v>
      </c>
      <c r="E1822" s="3">
        <f>HYPERLINK("https://sao.dolgi.msk.ru/account/1404229973/", 1404229973)</f>
        <v>1404229973</v>
      </c>
      <c r="F1822">
        <v>-1821.1</v>
      </c>
    </row>
    <row r="1823" spans="1:6" hidden="1" x14ac:dyDescent="0.25">
      <c r="A1823" t="s">
        <v>419</v>
      </c>
      <c r="B1823" t="s">
        <v>219</v>
      </c>
      <c r="E1823" s="3">
        <f>HYPERLINK("https://sao.dolgi.msk.ru/account/1404227492/", 1404227492)</f>
        <v>1404227492</v>
      </c>
      <c r="F1823">
        <v>-3679.17</v>
      </c>
    </row>
    <row r="1824" spans="1:6" hidden="1" x14ac:dyDescent="0.25">
      <c r="A1824" t="s">
        <v>419</v>
      </c>
      <c r="B1824" t="s">
        <v>220</v>
      </c>
      <c r="E1824" s="3">
        <f>HYPERLINK("https://sao.dolgi.msk.ru/account/1404234131/", 1404234131)</f>
        <v>1404234131</v>
      </c>
      <c r="F1824">
        <v>-1771.21</v>
      </c>
    </row>
    <row r="1825" spans="1:6" hidden="1" x14ac:dyDescent="0.25">
      <c r="A1825" t="s">
        <v>419</v>
      </c>
      <c r="B1825" t="s">
        <v>221</v>
      </c>
      <c r="E1825" s="3">
        <f>HYPERLINK("https://sao.dolgi.msk.ru/account/1404233024/", 1404233024)</f>
        <v>1404233024</v>
      </c>
      <c r="F1825">
        <v>-2542.13</v>
      </c>
    </row>
    <row r="1826" spans="1:6" hidden="1" x14ac:dyDescent="0.25">
      <c r="A1826" t="s">
        <v>419</v>
      </c>
      <c r="B1826" t="s">
        <v>222</v>
      </c>
      <c r="E1826" s="3">
        <f>HYPERLINK("https://sao.dolgi.msk.ru/account/1404229084/", 1404229084)</f>
        <v>1404229084</v>
      </c>
      <c r="F1826">
        <v>-1821.1</v>
      </c>
    </row>
    <row r="1827" spans="1:6" hidden="1" x14ac:dyDescent="0.25">
      <c r="A1827" t="s">
        <v>419</v>
      </c>
      <c r="B1827" t="s">
        <v>223</v>
      </c>
      <c r="E1827" s="3">
        <f>HYPERLINK("https://sao.dolgi.msk.ru/account/1404229666/", 1404229666)</f>
        <v>1404229666</v>
      </c>
      <c r="F1827">
        <v>-3642.18</v>
      </c>
    </row>
    <row r="1828" spans="1:6" hidden="1" x14ac:dyDescent="0.25">
      <c r="A1828" t="s">
        <v>419</v>
      </c>
      <c r="B1828" t="s">
        <v>224</v>
      </c>
      <c r="E1828" s="3">
        <f>HYPERLINK("https://sao.dolgi.msk.ru/account/1404227505/", 1404227505)</f>
        <v>1404227505</v>
      </c>
      <c r="F1828">
        <v>-2620.7199999999998</v>
      </c>
    </row>
    <row r="1829" spans="1:6" x14ac:dyDescent="0.25">
      <c r="A1829" t="s">
        <v>419</v>
      </c>
      <c r="B1829" t="s">
        <v>225</v>
      </c>
      <c r="C1829" s="5" t="str">
        <f>" кв. "&amp;B1829</f>
        <v xml:space="preserve"> кв. 221</v>
      </c>
      <c r="D1829" s="5" t="str">
        <f>CONCATENATE(A1829,C1829)</f>
        <v>Беломорская ул., дом 13 к.1 кв. 221</v>
      </c>
      <c r="E1829" s="3">
        <f>HYPERLINK("https://sao.dolgi.msk.ru/account/1404229287/", 1404229287)</f>
        <v>1404229287</v>
      </c>
      <c r="F1829">
        <v>1755.47</v>
      </c>
    </row>
    <row r="1830" spans="1:6" hidden="1" x14ac:dyDescent="0.25">
      <c r="A1830" t="s">
        <v>419</v>
      </c>
      <c r="B1830" t="s">
        <v>226</v>
      </c>
      <c r="E1830" s="3">
        <f>HYPERLINK("https://sao.dolgi.msk.ru/account/1404232806/", 1404232806)</f>
        <v>1404232806</v>
      </c>
      <c r="F1830">
        <v>-1816.48</v>
      </c>
    </row>
    <row r="1831" spans="1:6" x14ac:dyDescent="0.25">
      <c r="A1831" t="s">
        <v>419</v>
      </c>
      <c r="B1831" t="s">
        <v>227</v>
      </c>
      <c r="C1831" s="5" t="str">
        <f>" кв. "&amp;B1831</f>
        <v xml:space="preserve"> кв. 223</v>
      </c>
      <c r="D1831" s="5" t="str">
        <f>CONCATENATE(A1831,C1831)</f>
        <v>Беломорская ул., дом 13 к.1 кв. 223</v>
      </c>
      <c r="E1831" s="3">
        <f>HYPERLINK("https://sao.dolgi.msk.ru/account/1404234027/", 1404234027)</f>
        <v>1404234027</v>
      </c>
      <c r="F1831">
        <v>2508.2600000000002</v>
      </c>
    </row>
    <row r="1832" spans="1:6" hidden="1" x14ac:dyDescent="0.25">
      <c r="A1832" t="s">
        <v>419</v>
      </c>
      <c r="B1832" t="s">
        <v>228</v>
      </c>
      <c r="E1832" s="3">
        <f>HYPERLINK("https://sao.dolgi.msk.ru/account/1404233032/", 1404233032)</f>
        <v>1404233032</v>
      </c>
      <c r="F1832">
        <v>-2379.98</v>
      </c>
    </row>
    <row r="1833" spans="1:6" hidden="1" x14ac:dyDescent="0.25">
      <c r="A1833" t="s">
        <v>419</v>
      </c>
      <c r="B1833" t="s">
        <v>229</v>
      </c>
      <c r="E1833" s="3">
        <f>HYPERLINK("https://sao.dolgi.msk.ru/account/1404231096/", 1404231096)</f>
        <v>1404231096</v>
      </c>
      <c r="F1833">
        <v>-2542.13</v>
      </c>
    </row>
    <row r="1834" spans="1:6" hidden="1" x14ac:dyDescent="0.25">
      <c r="A1834" t="s">
        <v>419</v>
      </c>
      <c r="B1834" t="s">
        <v>230</v>
      </c>
      <c r="E1834" s="3">
        <f>HYPERLINK("https://sao.dolgi.msk.ru/account/1404228102/", 1404228102)</f>
        <v>1404228102</v>
      </c>
      <c r="F1834">
        <v>-9840.99</v>
      </c>
    </row>
    <row r="1835" spans="1:6" hidden="1" x14ac:dyDescent="0.25">
      <c r="A1835" t="s">
        <v>419</v>
      </c>
      <c r="B1835" t="s">
        <v>231</v>
      </c>
      <c r="E1835" s="3">
        <f>HYPERLINK("https://sao.dolgi.msk.ru/account/1404229383/", 1404229383)</f>
        <v>1404229383</v>
      </c>
      <c r="F1835">
        <v>-3660.68</v>
      </c>
    </row>
    <row r="1836" spans="1:6" hidden="1" x14ac:dyDescent="0.25">
      <c r="A1836" t="s">
        <v>419</v>
      </c>
      <c r="B1836" t="s">
        <v>232</v>
      </c>
      <c r="E1836" s="3">
        <f>HYPERLINK("https://sao.dolgi.msk.ru/account/1404231045/", 1404231045)</f>
        <v>1404231045</v>
      </c>
      <c r="F1836">
        <v>0</v>
      </c>
    </row>
    <row r="1837" spans="1:6" hidden="1" x14ac:dyDescent="0.25">
      <c r="A1837" t="s">
        <v>419</v>
      </c>
      <c r="B1837" t="s">
        <v>233</v>
      </c>
      <c r="E1837" s="3">
        <f>HYPERLINK("https://sao.dolgi.msk.ru/account/1404231053/", 1404231053)</f>
        <v>1404231053</v>
      </c>
      <c r="F1837">
        <v>0</v>
      </c>
    </row>
    <row r="1838" spans="1:6" x14ac:dyDescent="0.25">
      <c r="A1838" t="s">
        <v>419</v>
      </c>
      <c r="B1838" t="s">
        <v>234</v>
      </c>
      <c r="C1838" s="5" t="str">
        <f>" кв. "&amp;B1838</f>
        <v xml:space="preserve"> кв. 230</v>
      </c>
      <c r="D1838" s="5" t="str">
        <f>CONCATENATE(A1838,C1838)</f>
        <v>Беломорская ул., дом 13 к.1 кв. 230</v>
      </c>
      <c r="E1838" s="3">
        <f>HYPERLINK("https://sao.dolgi.msk.ru/account/1404227695/", 1404227695)</f>
        <v>1404227695</v>
      </c>
      <c r="F1838">
        <v>1249.3900000000001</v>
      </c>
    </row>
    <row r="1839" spans="1:6" hidden="1" x14ac:dyDescent="0.25">
      <c r="A1839" t="s">
        <v>419</v>
      </c>
      <c r="B1839" t="s">
        <v>235</v>
      </c>
      <c r="E1839" s="3">
        <f>HYPERLINK("https://sao.dolgi.msk.ru/account/1404231934/", 1404231934)</f>
        <v>1404231934</v>
      </c>
      <c r="F1839">
        <v>0</v>
      </c>
    </row>
    <row r="1840" spans="1:6" hidden="1" x14ac:dyDescent="0.25">
      <c r="A1840" t="s">
        <v>419</v>
      </c>
      <c r="B1840" t="s">
        <v>239</v>
      </c>
      <c r="E1840" s="3">
        <f>HYPERLINK("https://sao.dolgi.msk.ru/account/1404231969/", 1404231969)</f>
        <v>1404231969</v>
      </c>
      <c r="F1840">
        <v>0</v>
      </c>
    </row>
    <row r="1841" spans="1:6" x14ac:dyDescent="0.25">
      <c r="A1841" t="s">
        <v>419</v>
      </c>
      <c r="B1841" t="s">
        <v>240</v>
      </c>
      <c r="C1841" s="5" t="str">
        <f>" кв. "&amp;B1841</f>
        <v xml:space="preserve"> кв. 233</v>
      </c>
      <c r="D1841" s="5" t="str">
        <f>CONCATENATE(A1841,C1841)</f>
        <v>Беломорская ул., дом 13 к.1 кв. 233</v>
      </c>
      <c r="E1841" s="3">
        <f>HYPERLINK("https://sao.dolgi.msk.ru/account/1404229332/", 1404229332)</f>
        <v>1404229332</v>
      </c>
      <c r="F1841">
        <v>1742.81</v>
      </c>
    </row>
    <row r="1842" spans="1:6" hidden="1" x14ac:dyDescent="0.25">
      <c r="A1842" t="s">
        <v>419</v>
      </c>
      <c r="B1842" t="s">
        <v>241</v>
      </c>
      <c r="E1842" s="3">
        <f>HYPERLINK("https://sao.dolgi.msk.ru/account/1404230229/", 1404230229)</f>
        <v>1404230229</v>
      </c>
      <c r="F1842">
        <v>-1011.76</v>
      </c>
    </row>
    <row r="1843" spans="1:6" hidden="1" x14ac:dyDescent="0.25">
      <c r="A1843" t="s">
        <v>419</v>
      </c>
      <c r="B1843" t="s">
        <v>242</v>
      </c>
      <c r="E1843" s="3">
        <f>HYPERLINK("https://sao.dolgi.msk.ru/account/1404232048/", 1404232048)</f>
        <v>1404232048</v>
      </c>
      <c r="F1843">
        <v>-3086.78</v>
      </c>
    </row>
    <row r="1844" spans="1:6" hidden="1" x14ac:dyDescent="0.25">
      <c r="A1844" t="s">
        <v>419</v>
      </c>
      <c r="B1844" t="s">
        <v>243</v>
      </c>
      <c r="E1844" s="3">
        <f>HYPERLINK("https://sao.dolgi.msk.ru/account/1404229412/", 1404229412)</f>
        <v>1404229412</v>
      </c>
      <c r="F1844">
        <v>0</v>
      </c>
    </row>
    <row r="1845" spans="1:6" hidden="1" x14ac:dyDescent="0.25">
      <c r="A1845" t="s">
        <v>419</v>
      </c>
      <c r="B1845" t="s">
        <v>243</v>
      </c>
      <c r="E1845" s="3">
        <f>HYPERLINK("https://sao.dolgi.msk.ru/account/1404233075/", 1404233075)</f>
        <v>1404233075</v>
      </c>
      <c r="F1845">
        <v>0</v>
      </c>
    </row>
    <row r="1846" spans="1:6" hidden="1" x14ac:dyDescent="0.25">
      <c r="A1846" t="s">
        <v>419</v>
      </c>
      <c r="B1846" t="s">
        <v>244</v>
      </c>
      <c r="E1846" s="3">
        <f>HYPERLINK("https://sao.dolgi.msk.ru/account/1404234238/", 1404234238)</f>
        <v>1404234238</v>
      </c>
      <c r="F1846">
        <v>-1770.24</v>
      </c>
    </row>
    <row r="1847" spans="1:6" hidden="1" x14ac:dyDescent="0.25">
      <c r="A1847" t="s">
        <v>419</v>
      </c>
      <c r="B1847" t="s">
        <v>245</v>
      </c>
      <c r="E1847" s="3">
        <f>HYPERLINK("https://sao.dolgi.msk.ru/account/1404227521/", 1404227521)</f>
        <v>1404227521</v>
      </c>
      <c r="F1847">
        <v>-329.76</v>
      </c>
    </row>
    <row r="1848" spans="1:6" hidden="1" x14ac:dyDescent="0.25">
      <c r="A1848" t="s">
        <v>419</v>
      </c>
      <c r="B1848" t="s">
        <v>246</v>
      </c>
      <c r="E1848" s="3">
        <f>HYPERLINK("https://sao.dolgi.msk.ru/account/1404233083/", 1404233083)</f>
        <v>1404233083</v>
      </c>
      <c r="F1848">
        <v>-3660.68</v>
      </c>
    </row>
    <row r="1849" spans="1:6" hidden="1" x14ac:dyDescent="0.25">
      <c r="A1849" t="s">
        <v>419</v>
      </c>
      <c r="B1849" t="s">
        <v>247</v>
      </c>
      <c r="E1849" s="3">
        <f>HYPERLINK("https://sao.dolgi.msk.ru/account/1404229359/", 1404229359)</f>
        <v>1404229359</v>
      </c>
      <c r="F1849">
        <v>0</v>
      </c>
    </row>
    <row r="1850" spans="1:6" hidden="1" x14ac:dyDescent="0.25">
      <c r="A1850" t="s">
        <v>419</v>
      </c>
      <c r="B1850" t="s">
        <v>248</v>
      </c>
      <c r="E1850" s="3">
        <f>HYPERLINK("https://sao.dolgi.msk.ru/account/1404233091/", 1404233091)</f>
        <v>1404233091</v>
      </c>
      <c r="F1850">
        <v>-2546.75</v>
      </c>
    </row>
    <row r="1851" spans="1:6" hidden="1" x14ac:dyDescent="0.25">
      <c r="A1851" t="s">
        <v>419</v>
      </c>
      <c r="B1851" t="s">
        <v>249</v>
      </c>
      <c r="E1851" s="3">
        <f>HYPERLINK("https://sao.dolgi.msk.ru/account/1404227847/", 1404227847)</f>
        <v>1404227847</v>
      </c>
      <c r="F1851">
        <v>-1811.86</v>
      </c>
    </row>
    <row r="1852" spans="1:6" hidden="1" x14ac:dyDescent="0.25">
      <c r="A1852" t="s">
        <v>419</v>
      </c>
      <c r="B1852" t="s">
        <v>250</v>
      </c>
      <c r="E1852" s="3">
        <f>HYPERLINK("https://sao.dolgi.msk.ru/account/1404232566/", 1404232566)</f>
        <v>1404232566</v>
      </c>
      <c r="F1852">
        <v>0</v>
      </c>
    </row>
    <row r="1853" spans="1:6" hidden="1" x14ac:dyDescent="0.25">
      <c r="A1853" t="s">
        <v>419</v>
      </c>
      <c r="B1853" t="s">
        <v>251</v>
      </c>
      <c r="E1853" s="3">
        <f>HYPERLINK("https://sao.dolgi.msk.ru/account/1404227177/", 1404227177)</f>
        <v>1404227177</v>
      </c>
      <c r="F1853">
        <v>-2625.34</v>
      </c>
    </row>
    <row r="1854" spans="1:6" hidden="1" x14ac:dyDescent="0.25">
      <c r="A1854" t="s">
        <v>419</v>
      </c>
      <c r="B1854" t="s">
        <v>252</v>
      </c>
      <c r="E1854" s="3">
        <f>HYPERLINK("https://sao.dolgi.msk.ru/account/1404227185/", 1404227185)</f>
        <v>1404227185</v>
      </c>
      <c r="F1854">
        <v>-2542.13</v>
      </c>
    </row>
    <row r="1855" spans="1:6" hidden="1" x14ac:dyDescent="0.25">
      <c r="A1855" t="s">
        <v>419</v>
      </c>
      <c r="B1855" t="s">
        <v>253</v>
      </c>
      <c r="E1855" s="3">
        <f>HYPERLINK("https://sao.dolgi.msk.ru/account/1404232574/", 1404232574)</f>
        <v>1404232574</v>
      </c>
      <c r="F1855">
        <v>-1529.78</v>
      </c>
    </row>
    <row r="1856" spans="1:6" hidden="1" x14ac:dyDescent="0.25">
      <c r="A1856" t="s">
        <v>419</v>
      </c>
      <c r="B1856" t="s">
        <v>254</v>
      </c>
      <c r="E1856" s="3">
        <f>HYPERLINK("https://sao.dolgi.msk.ru/account/1404228073/", 1404228073)</f>
        <v>1404228073</v>
      </c>
      <c r="F1856">
        <v>-3665.3</v>
      </c>
    </row>
    <row r="1857" spans="1:6" hidden="1" x14ac:dyDescent="0.25">
      <c r="A1857" t="s">
        <v>419</v>
      </c>
      <c r="B1857" t="s">
        <v>255</v>
      </c>
      <c r="E1857" s="3">
        <f>HYPERLINK("https://sao.dolgi.msk.ru/account/1404229893/", 1404229893)</f>
        <v>1404229893</v>
      </c>
      <c r="F1857">
        <v>0</v>
      </c>
    </row>
    <row r="1858" spans="1:6" hidden="1" x14ac:dyDescent="0.25">
      <c r="A1858" t="s">
        <v>419</v>
      </c>
      <c r="B1858" t="s">
        <v>256</v>
      </c>
      <c r="E1858" s="3">
        <f>HYPERLINK("https://sao.dolgi.msk.ru/account/1404228997/", 1404228997)</f>
        <v>1404228997</v>
      </c>
      <c r="F1858">
        <v>-1476.66</v>
      </c>
    </row>
    <row r="1859" spans="1:6" hidden="1" x14ac:dyDescent="0.25">
      <c r="A1859" t="s">
        <v>419</v>
      </c>
      <c r="B1859" t="s">
        <v>257</v>
      </c>
      <c r="E1859" s="3">
        <f>HYPERLINK("https://sao.dolgi.msk.ru/account/1404233745/", 1404233745)</f>
        <v>1404233745</v>
      </c>
      <c r="F1859">
        <v>0</v>
      </c>
    </row>
    <row r="1860" spans="1:6" x14ac:dyDescent="0.25">
      <c r="A1860" t="s">
        <v>419</v>
      </c>
      <c r="B1860" t="s">
        <v>258</v>
      </c>
      <c r="C1860" s="5" t="str">
        <f>" кв. "&amp;B1860</f>
        <v xml:space="preserve"> кв. 251</v>
      </c>
      <c r="D1860" s="5" t="str">
        <f>CONCATENATE(A1860,C1860)</f>
        <v>Беломорская ул., дом 13 к.1 кв. 251</v>
      </c>
      <c r="E1860" s="3">
        <f>HYPERLINK("https://sao.dolgi.msk.ru/account/1404229906/", 1404229906)</f>
        <v>1404229906</v>
      </c>
      <c r="F1860">
        <v>2520.91</v>
      </c>
    </row>
    <row r="1861" spans="1:6" hidden="1" x14ac:dyDescent="0.25">
      <c r="A1861" t="s">
        <v>419</v>
      </c>
      <c r="B1861" t="s">
        <v>259</v>
      </c>
      <c r="E1861" s="3">
        <f>HYPERLINK("https://sao.dolgi.msk.ru/account/1404227206/", 1404227206)</f>
        <v>1404227206</v>
      </c>
      <c r="F1861">
        <v>-2606.85</v>
      </c>
    </row>
    <row r="1862" spans="1:6" x14ac:dyDescent="0.25">
      <c r="A1862" t="s">
        <v>419</v>
      </c>
      <c r="B1862" t="s">
        <v>260</v>
      </c>
      <c r="C1862" s="5" t="str">
        <f t="shared" ref="C1862:C1863" si="76">" кв. "&amp;B1862</f>
        <v xml:space="preserve"> кв. 253</v>
      </c>
      <c r="D1862" s="5" t="str">
        <f>CONCATENATE(A1862,C1862)</f>
        <v>Беломорская ул., дом 13 к.1 кв. 253</v>
      </c>
      <c r="E1862" s="3">
        <f>HYPERLINK("https://sao.dolgi.msk.ru/account/1404230704/", 1404230704)</f>
        <v>1404230704</v>
      </c>
      <c r="F1862">
        <v>1730.16</v>
      </c>
    </row>
    <row r="1863" spans="1:6" x14ac:dyDescent="0.25">
      <c r="A1863" t="s">
        <v>419</v>
      </c>
      <c r="B1863" t="s">
        <v>261</v>
      </c>
      <c r="C1863" s="5" t="str">
        <f t="shared" si="76"/>
        <v xml:space="preserve"> кв. 254</v>
      </c>
      <c r="D1863" s="5" t="str">
        <f>CONCATENATE(A1863,C1863)</f>
        <v>Беломорская ул., дом 13 к.1 кв. 254</v>
      </c>
      <c r="E1863" s="3">
        <f>HYPERLINK("https://sao.dolgi.msk.ru/account/1404229009/", 1404229009)</f>
        <v>1404229009</v>
      </c>
      <c r="F1863">
        <v>1236.73</v>
      </c>
    </row>
    <row r="1864" spans="1:6" hidden="1" x14ac:dyDescent="0.25">
      <c r="A1864" t="s">
        <v>419</v>
      </c>
      <c r="B1864" t="s">
        <v>262</v>
      </c>
      <c r="E1864" s="3">
        <f>HYPERLINK("https://sao.dolgi.msk.ru/account/1404233753/", 1404233753)</f>
        <v>1404233753</v>
      </c>
      <c r="F1864">
        <v>-2411.17</v>
      </c>
    </row>
    <row r="1865" spans="1:6" hidden="1" x14ac:dyDescent="0.25">
      <c r="A1865" t="s">
        <v>419</v>
      </c>
      <c r="B1865" t="s">
        <v>263</v>
      </c>
      <c r="E1865" s="3">
        <f>HYPERLINK("https://sao.dolgi.msk.ru/account/1404226895/", 1404226895)</f>
        <v>1404226895</v>
      </c>
      <c r="F1865">
        <v>-2134.6</v>
      </c>
    </row>
    <row r="1866" spans="1:6" hidden="1" x14ac:dyDescent="0.25">
      <c r="A1866" t="s">
        <v>419</v>
      </c>
      <c r="B1866" t="s">
        <v>264</v>
      </c>
      <c r="E1866" s="3">
        <f>HYPERLINK("https://sao.dolgi.msk.ru/account/1404227871/", 1404227871)</f>
        <v>1404227871</v>
      </c>
      <c r="F1866">
        <v>-2556</v>
      </c>
    </row>
    <row r="1867" spans="1:6" hidden="1" x14ac:dyDescent="0.25">
      <c r="A1867" t="s">
        <v>419</v>
      </c>
      <c r="B1867" t="s">
        <v>265</v>
      </c>
      <c r="E1867" s="3">
        <f>HYPERLINK("https://sao.dolgi.msk.ru/account/1404227898/", 1404227898)</f>
        <v>1404227898</v>
      </c>
      <c r="F1867">
        <v>-1011.76</v>
      </c>
    </row>
    <row r="1868" spans="1:6" hidden="1" x14ac:dyDescent="0.25">
      <c r="A1868" t="s">
        <v>419</v>
      </c>
      <c r="B1868" t="s">
        <v>266</v>
      </c>
      <c r="E1868" s="3">
        <f>HYPERLINK("https://sao.dolgi.msk.ru/account/1404230405/", 1404230405)</f>
        <v>1404230405</v>
      </c>
      <c r="F1868">
        <v>0</v>
      </c>
    </row>
    <row r="1869" spans="1:6" hidden="1" x14ac:dyDescent="0.25">
      <c r="A1869" t="s">
        <v>419</v>
      </c>
      <c r="B1869" t="s">
        <v>266</v>
      </c>
      <c r="E1869" s="3">
        <f>HYPERLINK("https://sao.dolgi.msk.ru/account/1404233569/", 1404233569)</f>
        <v>1404233569</v>
      </c>
      <c r="F1869">
        <v>0</v>
      </c>
    </row>
    <row r="1870" spans="1:6" x14ac:dyDescent="0.25">
      <c r="A1870" t="s">
        <v>419</v>
      </c>
      <c r="B1870" t="s">
        <v>267</v>
      </c>
      <c r="C1870" s="5" t="str">
        <f>" кв. "&amp;B1870</f>
        <v xml:space="preserve"> кв. 260</v>
      </c>
      <c r="D1870" s="5" t="str">
        <f>CONCATENATE(A1870,C1870)</f>
        <v>Беломорская ул., дом 13 к.1 кв. 260</v>
      </c>
      <c r="E1870" s="3">
        <f>HYPERLINK("https://sao.dolgi.msk.ru/account/1404233948/", 1404233948)</f>
        <v>1404233948</v>
      </c>
      <c r="F1870">
        <v>1780.77</v>
      </c>
    </row>
    <row r="1871" spans="1:6" hidden="1" x14ac:dyDescent="0.25">
      <c r="A1871" t="s">
        <v>419</v>
      </c>
      <c r="B1871" t="s">
        <v>268</v>
      </c>
      <c r="E1871" s="3">
        <f>HYPERLINK("https://sao.dolgi.msk.ru/account/1404226908/", 1404226908)</f>
        <v>1404226908</v>
      </c>
      <c r="F1871">
        <v>-2332.98</v>
      </c>
    </row>
    <row r="1872" spans="1:6" hidden="1" x14ac:dyDescent="0.25">
      <c r="A1872" t="s">
        <v>419</v>
      </c>
      <c r="B1872" t="s">
        <v>269</v>
      </c>
      <c r="E1872" s="3">
        <f>HYPERLINK("https://sao.dolgi.msk.ru/account/1404229914/", 1404229914)</f>
        <v>1404229914</v>
      </c>
      <c r="F1872">
        <v>-1821.1</v>
      </c>
    </row>
    <row r="1873" spans="1:6" hidden="1" x14ac:dyDescent="0.25">
      <c r="A1873" t="s">
        <v>419</v>
      </c>
      <c r="B1873" t="s">
        <v>270</v>
      </c>
      <c r="E1873" s="3">
        <f>HYPERLINK("https://sao.dolgi.msk.ru/account/1404230552/", 1404230552)</f>
        <v>1404230552</v>
      </c>
      <c r="F1873">
        <v>-2907.28</v>
      </c>
    </row>
    <row r="1874" spans="1:6" hidden="1" x14ac:dyDescent="0.25">
      <c r="A1874" t="s">
        <v>419</v>
      </c>
      <c r="B1874" t="s">
        <v>271</v>
      </c>
      <c r="E1874" s="3">
        <f>HYPERLINK("https://sao.dolgi.msk.ru/account/1404230544/", 1404230544)</f>
        <v>1404230544</v>
      </c>
      <c r="F1874">
        <v>-1867.31</v>
      </c>
    </row>
    <row r="1875" spans="1:6" x14ac:dyDescent="0.25">
      <c r="A1875" t="s">
        <v>419</v>
      </c>
      <c r="B1875" t="s">
        <v>272</v>
      </c>
      <c r="C1875" s="5" t="str">
        <f>" кв. "&amp;B1875</f>
        <v xml:space="preserve"> кв. 265</v>
      </c>
      <c r="D1875" s="5" t="str">
        <f>CONCATENATE(A1875,C1875)</f>
        <v>Беломорская ул., дом 13 к.1 кв. 265</v>
      </c>
      <c r="E1875" s="3">
        <f>HYPERLINK("https://sao.dolgi.msk.ru/account/1404228786/", 1404228786)</f>
        <v>1404228786</v>
      </c>
      <c r="F1875">
        <v>1758.63</v>
      </c>
    </row>
    <row r="1876" spans="1:6" hidden="1" x14ac:dyDescent="0.25">
      <c r="A1876" t="s">
        <v>419</v>
      </c>
      <c r="B1876" t="s">
        <v>273</v>
      </c>
      <c r="E1876" s="3">
        <f>HYPERLINK("https://sao.dolgi.msk.ru/account/1404227919/", 1404227919)</f>
        <v>1404227919</v>
      </c>
      <c r="F1876">
        <v>0</v>
      </c>
    </row>
    <row r="1877" spans="1:6" hidden="1" x14ac:dyDescent="0.25">
      <c r="A1877" t="s">
        <v>419</v>
      </c>
      <c r="B1877" t="s">
        <v>274</v>
      </c>
      <c r="E1877" s="3">
        <f>HYPERLINK("https://sao.dolgi.msk.ru/account/1404226916/", 1404226916)</f>
        <v>1404226916</v>
      </c>
      <c r="F1877">
        <v>-2511.42</v>
      </c>
    </row>
    <row r="1878" spans="1:6" hidden="1" x14ac:dyDescent="0.25">
      <c r="A1878" t="s">
        <v>419</v>
      </c>
      <c r="B1878" t="s">
        <v>275</v>
      </c>
      <c r="E1878" s="3">
        <f>HYPERLINK("https://sao.dolgi.msk.ru/account/1404230579/", 1404230579)</f>
        <v>1404230579</v>
      </c>
      <c r="F1878">
        <v>-2634.57</v>
      </c>
    </row>
    <row r="1879" spans="1:6" hidden="1" x14ac:dyDescent="0.25">
      <c r="A1879" t="s">
        <v>419</v>
      </c>
      <c r="B1879" t="s">
        <v>276</v>
      </c>
      <c r="E1879" s="3">
        <f>HYPERLINK("https://sao.dolgi.msk.ru/account/1404226924/", 1404226924)</f>
        <v>1404226924</v>
      </c>
      <c r="F1879">
        <v>-2168.13</v>
      </c>
    </row>
    <row r="1880" spans="1:6" x14ac:dyDescent="0.25">
      <c r="A1880" t="s">
        <v>419</v>
      </c>
      <c r="B1880" t="s">
        <v>279</v>
      </c>
      <c r="C1880" s="5" t="str">
        <f>" кв. "&amp;B1880</f>
        <v xml:space="preserve"> кв. 272</v>
      </c>
      <c r="D1880" s="5" t="str">
        <f>CONCATENATE(A1880,C1880)</f>
        <v>Беломорская ул., дом 13 к.1 кв. 272</v>
      </c>
      <c r="E1880" s="3">
        <f>HYPERLINK("https://sao.dolgi.msk.ru/account/1404229631/", 1404229631)</f>
        <v>1404229631</v>
      </c>
      <c r="F1880">
        <v>1799.75</v>
      </c>
    </row>
    <row r="1881" spans="1:6" hidden="1" x14ac:dyDescent="0.25">
      <c r="A1881" t="s">
        <v>419</v>
      </c>
      <c r="B1881" t="s">
        <v>280</v>
      </c>
      <c r="E1881" s="3">
        <f>HYPERLINK("https://sao.dolgi.msk.ru/account/1404229658/", 1404229658)</f>
        <v>1404229658</v>
      </c>
      <c r="F1881">
        <v>0</v>
      </c>
    </row>
    <row r="1882" spans="1:6" hidden="1" x14ac:dyDescent="0.25">
      <c r="A1882" t="s">
        <v>419</v>
      </c>
      <c r="B1882" t="s">
        <v>281</v>
      </c>
      <c r="E1882" s="3">
        <f>HYPERLINK("https://sao.dolgi.msk.ru/account/1404227935/", 1404227935)</f>
        <v>1404227935</v>
      </c>
      <c r="F1882">
        <v>-1816.48</v>
      </c>
    </row>
    <row r="1883" spans="1:6" hidden="1" x14ac:dyDescent="0.25">
      <c r="A1883" t="s">
        <v>419</v>
      </c>
      <c r="B1883" t="s">
        <v>282</v>
      </c>
      <c r="E1883" s="3">
        <f>HYPERLINK("https://sao.dolgi.msk.ru/account/1404228268/", 1404228268)</f>
        <v>1404228268</v>
      </c>
      <c r="F1883">
        <v>-778.45</v>
      </c>
    </row>
    <row r="1884" spans="1:6" x14ac:dyDescent="0.25">
      <c r="A1884" t="s">
        <v>419</v>
      </c>
      <c r="B1884" t="s">
        <v>283</v>
      </c>
      <c r="C1884" s="5" t="str">
        <f>" кв. "&amp;B1884</f>
        <v xml:space="preserve"> кв. 276</v>
      </c>
      <c r="D1884" s="5" t="str">
        <f>CONCATENATE(A1884,C1884)</f>
        <v>Беломорская ул., дом 13 к.1 кв. 276</v>
      </c>
      <c r="E1884" s="3">
        <f>HYPERLINK("https://sao.dolgi.msk.ru/account/1404228276/", 1404228276)</f>
        <v>1404228276</v>
      </c>
      <c r="F1884">
        <v>1796.58</v>
      </c>
    </row>
    <row r="1885" spans="1:6" hidden="1" x14ac:dyDescent="0.25">
      <c r="A1885" t="s">
        <v>419</v>
      </c>
      <c r="B1885" t="s">
        <v>284</v>
      </c>
      <c r="E1885" s="3">
        <f>HYPERLINK("https://sao.dolgi.msk.ru/account/1404229156/", 1404229156)</f>
        <v>1404229156</v>
      </c>
      <c r="F1885">
        <v>-2560.62</v>
      </c>
    </row>
    <row r="1886" spans="1:6" hidden="1" x14ac:dyDescent="0.25">
      <c r="A1886" t="s">
        <v>419</v>
      </c>
      <c r="B1886" t="s">
        <v>285</v>
      </c>
      <c r="E1886" s="3">
        <f>HYPERLINK("https://sao.dolgi.msk.ru/account/1404229164/", 1404229164)</f>
        <v>1404229164</v>
      </c>
      <c r="F1886">
        <v>-1533.66</v>
      </c>
    </row>
    <row r="1887" spans="1:6" hidden="1" x14ac:dyDescent="0.25">
      <c r="A1887" t="s">
        <v>419</v>
      </c>
      <c r="B1887" t="s">
        <v>286</v>
      </c>
      <c r="E1887" s="3">
        <f>HYPERLINK("https://sao.dolgi.msk.ru/account/1404227409/", 1404227409)</f>
        <v>1404227409</v>
      </c>
      <c r="F1887">
        <v>-3679.17</v>
      </c>
    </row>
    <row r="1888" spans="1:6" x14ac:dyDescent="0.25">
      <c r="A1888" t="s">
        <v>419</v>
      </c>
      <c r="B1888" t="s">
        <v>287</v>
      </c>
      <c r="C1888" s="5" t="str">
        <f t="shared" ref="C1888:C1890" si="77">" кв. "&amp;B1888</f>
        <v xml:space="preserve"> кв. 280</v>
      </c>
      <c r="D1888" s="5" t="str">
        <f>CONCATENATE(A1888,C1888)</f>
        <v>Беломорская ул., дом 13 к.1 кв. 280</v>
      </c>
      <c r="E1888" s="3">
        <f>HYPERLINK("https://sao.dolgi.msk.ru/account/1404227556/", 1404227556)</f>
        <v>1404227556</v>
      </c>
      <c r="F1888">
        <v>1725.15</v>
      </c>
    </row>
    <row r="1889" spans="1:6" x14ac:dyDescent="0.25">
      <c r="A1889" t="s">
        <v>419</v>
      </c>
      <c r="B1889" t="s">
        <v>288</v>
      </c>
      <c r="C1889" s="5" t="str">
        <f t="shared" si="77"/>
        <v xml:space="preserve"> кв. 281</v>
      </c>
      <c r="D1889" s="5" t="str">
        <f>CONCATENATE(A1889,C1889)</f>
        <v>Беломорская ул., дом 13 к.1 кв. 281</v>
      </c>
      <c r="E1889" s="3">
        <f>HYPERLINK("https://sao.dolgi.msk.ru/account/1404232179/", 1404232179)</f>
        <v>1404232179</v>
      </c>
      <c r="F1889">
        <v>1070.5999999999999</v>
      </c>
    </row>
    <row r="1890" spans="1:6" x14ac:dyDescent="0.25">
      <c r="A1890" t="s">
        <v>419</v>
      </c>
      <c r="B1890" t="s">
        <v>289</v>
      </c>
      <c r="C1890" s="5" t="str">
        <f t="shared" si="77"/>
        <v xml:space="preserve"> кв. 282</v>
      </c>
      <c r="D1890" s="5" t="str">
        <f>CONCATENATE(A1890,C1890)</f>
        <v>Беломорская ул., дом 13 к.1 кв. 282</v>
      </c>
      <c r="E1890" s="3">
        <f>HYPERLINK("https://sao.dolgi.msk.ru/account/1404227708/", 1404227708)</f>
        <v>1404227708</v>
      </c>
      <c r="F1890">
        <v>2469.8000000000002</v>
      </c>
    </row>
    <row r="1891" spans="1:6" hidden="1" x14ac:dyDescent="0.25">
      <c r="A1891" t="s">
        <v>419</v>
      </c>
      <c r="B1891" t="s">
        <v>290</v>
      </c>
      <c r="E1891" s="3">
        <f>HYPERLINK("https://sao.dolgi.msk.ru/account/1404233307/", 1404233307)</f>
        <v>1404233307</v>
      </c>
      <c r="F1891">
        <v>0</v>
      </c>
    </row>
    <row r="1892" spans="1:6" hidden="1" x14ac:dyDescent="0.25">
      <c r="A1892" t="s">
        <v>419</v>
      </c>
      <c r="B1892" t="s">
        <v>291</v>
      </c>
      <c r="E1892" s="3">
        <f>HYPERLINK("https://sao.dolgi.msk.ru/account/1404232208/", 1404232208)</f>
        <v>1404232208</v>
      </c>
      <c r="F1892">
        <v>0</v>
      </c>
    </row>
    <row r="1893" spans="1:6" x14ac:dyDescent="0.25">
      <c r="A1893" t="s">
        <v>419</v>
      </c>
      <c r="B1893" t="s">
        <v>292</v>
      </c>
      <c r="C1893" s="5" t="str">
        <f t="shared" ref="C1893:C1894" si="78">" кв. "&amp;B1893</f>
        <v xml:space="preserve"> кв. 285</v>
      </c>
      <c r="D1893" s="5" t="str">
        <f>CONCATENATE(A1893,C1893)</f>
        <v>Беломорская ул., дом 13 к.1 кв. 285</v>
      </c>
      <c r="E1893" s="3">
        <f>HYPERLINK("https://sao.dolgi.msk.ru/account/1404230413/", 1404230413)</f>
        <v>1404230413</v>
      </c>
      <c r="F1893">
        <v>1777.61</v>
      </c>
    </row>
    <row r="1894" spans="1:6" x14ac:dyDescent="0.25">
      <c r="A1894" t="s">
        <v>419</v>
      </c>
      <c r="B1894" t="s">
        <v>293</v>
      </c>
      <c r="C1894" s="5" t="str">
        <f t="shared" si="78"/>
        <v xml:space="preserve"> кв. 286</v>
      </c>
      <c r="D1894" s="5" t="str">
        <f>CONCATENATE(A1894,C1894)</f>
        <v>Беломорская ул., дом 13 к.1 кв. 286</v>
      </c>
      <c r="E1894" s="3">
        <f>HYPERLINK("https://sao.dolgi.msk.ru/account/1404227716/", 1404227716)</f>
        <v>1404227716</v>
      </c>
      <c r="F1894">
        <v>2489.2800000000002</v>
      </c>
    </row>
    <row r="1895" spans="1:6" hidden="1" x14ac:dyDescent="0.25">
      <c r="A1895" t="s">
        <v>419</v>
      </c>
      <c r="B1895" t="s">
        <v>294</v>
      </c>
      <c r="E1895" s="3">
        <f>HYPERLINK("https://sao.dolgi.msk.ru/account/1404231184/", 1404231184)</f>
        <v>1404231184</v>
      </c>
      <c r="F1895">
        <v>0</v>
      </c>
    </row>
    <row r="1896" spans="1:6" hidden="1" x14ac:dyDescent="0.25">
      <c r="A1896" t="s">
        <v>419</v>
      </c>
      <c r="B1896" t="s">
        <v>295</v>
      </c>
      <c r="E1896" s="3">
        <f>HYPERLINK("https://sao.dolgi.msk.ru/account/1404233315/", 1404233315)</f>
        <v>1404233315</v>
      </c>
      <c r="F1896">
        <v>0</v>
      </c>
    </row>
    <row r="1897" spans="1:6" hidden="1" x14ac:dyDescent="0.25">
      <c r="A1897" t="s">
        <v>419</v>
      </c>
      <c r="B1897" t="s">
        <v>296</v>
      </c>
      <c r="E1897" s="3">
        <f>HYPERLINK("https://sao.dolgi.msk.ru/account/1404233323/", 1404233323)</f>
        <v>1404233323</v>
      </c>
      <c r="F1897">
        <v>0</v>
      </c>
    </row>
    <row r="1898" spans="1:6" hidden="1" x14ac:dyDescent="0.25">
      <c r="A1898" t="s">
        <v>419</v>
      </c>
      <c r="B1898" t="s">
        <v>297</v>
      </c>
      <c r="E1898" s="3">
        <f>HYPERLINK("https://sao.dolgi.msk.ru/account/1404227134/", 1404227134)</f>
        <v>1404227134</v>
      </c>
      <c r="F1898">
        <v>-3554.37</v>
      </c>
    </row>
    <row r="1899" spans="1:6" hidden="1" x14ac:dyDescent="0.25">
      <c r="A1899" t="s">
        <v>419</v>
      </c>
      <c r="B1899" t="s">
        <v>298</v>
      </c>
      <c r="E1899" s="3">
        <f>HYPERLINK("https://sao.dolgi.msk.ru/account/1404228946/", 1404228946)</f>
        <v>1404228946</v>
      </c>
      <c r="F1899">
        <v>0</v>
      </c>
    </row>
    <row r="1900" spans="1:6" hidden="1" x14ac:dyDescent="0.25">
      <c r="A1900" t="s">
        <v>419</v>
      </c>
      <c r="B1900" t="s">
        <v>299</v>
      </c>
      <c r="E1900" s="3">
        <f>HYPERLINK("https://sao.dolgi.msk.ru/account/1404230675/", 1404230675)</f>
        <v>1404230675</v>
      </c>
      <c r="F1900">
        <v>-1325.73</v>
      </c>
    </row>
    <row r="1901" spans="1:6" hidden="1" x14ac:dyDescent="0.25">
      <c r="A1901" t="s">
        <v>419</v>
      </c>
      <c r="B1901" t="s">
        <v>300</v>
      </c>
      <c r="E1901" s="3">
        <f>HYPERLINK("https://sao.dolgi.msk.ru/account/1404228532/", 1404228532)</f>
        <v>1404228532</v>
      </c>
      <c r="F1901">
        <v>0</v>
      </c>
    </row>
    <row r="1902" spans="1:6" hidden="1" x14ac:dyDescent="0.25">
      <c r="A1902" t="s">
        <v>419</v>
      </c>
      <c r="B1902" t="s">
        <v>301</v>
      </c>
      <c r="E1902" s="3">
        <f>HYPERLINK("https://sao.dolgi.msk.ru/account/1404230683/", 1404230683)</f>
        <v>1404230683</v>
      </c>
      <c r="F1902">
        <v>-1779.49</v>
      </c>
    </row>
    <row r="1903" spans="1:6" hidden="1" x14ac:dyDescent="0.25">
      <c r="A1903" t="s">
        <v>419</v>
      </c>
      <c r="B1903" t="s">
        <v>301</v>
      </c>
      <c r="E1903" s="3">
        <f>HYPERLINK("https://sao.dolgi.msk.ru/account/1404232099/", 1404232099)</f>
        <v>1404232099</v>
      </c>
      <c r="F1903">
        <v>-587.22</v>
      </c>
    </row>
    <row r="1904" spans="1:6" hidden="1" x14ac:dyDescent="0.25">
      <c r="A1904" t="s">
        <v>419</v>
      </c>
      <c r="B1904" t="s">
        <v>302</v>
      </c>
      <c r="E1904" s="3">
        <f>HYPERLINK("https://sao.dolgi.msk.ru/account/1404230253/", 1404230253)</f>
        <v>1404230253</v>
      </c>
      <c r="F1904">
        <v>-3646.81</v>
      </c>
    </row>
    <row r="1905" spans="1:6" hidden="1" x14ac:dyDescent="0.25">
      <c r="A1905" t="s">
        <v>419</v>
      </c>
      <c r="B1905" t="s">
        <v>303</v>
      </c>
      <c r="E1905" s="3">
        <f>HYPERLINK("https://sao.dolgi.msk.ru/account/1404234473/", 1404234473)</f>
        <v>1404234473</v>
      </c>
      <c r="F1905">
        <v>-1807.23</v>
      </c>
    </row>
    <row r="1906" spans="1:6" hidden="1" x14ac:dyDescent="0.25">
      <c r="A1906" t="s">
        <v>419</v>
      </c>
      <c r="B1906" t="s">
        <v>304</v>
      </c>
      <c r="E1906" s="3">
        <f>HYPERLINK("https://sao.dolgi.msk.ru/account/1404232072/", 1404232072)</f>
        <v>1404232072</v>
      </c>
      <c r="F1906">
        <v>-2136.9899999999998</v>
      </c>
    </row>
    <row r="1907" spans="1:6" hidden="1" x14ac:dyDescent="0.25">
      <c r="A1907" t="s">
        <v>419</v>
      </c>
      <c r="B1907" t="s">
        <v>305</v>
      </c>
      <c r="E1907" s="3">
        <f>HYPERLINK("https://sao.dolgi.msk.ru/account/1404234262/", 1404234262)</f>
        <v>1404234262</v>
      </c>
      <c r="F1907">
        <v>0</v>
      </c>
    </row>
    <row r="1908" spans="1:6" hidden="1" x14ac:dyDescent="0.25">
      <c r="A1908" t="s">
        <v>419</v>
      </c>
      <c r="B1908" t="s">
        <v>306</v>
      </c>
      <c r="E1908" s="3">
        <f>HYPERLINK("https://sao.dolgi.msk.ru/account/1404230376/", 1404230376)</f>
        <v>1404230376</v>
      </c>
      <c r="F1908">
        <v>-1914.46</v>
      </c>
    </row>
    <row r="1909" spans="1:6" x14ac:dyDescent="0.25">
      <c r="A1909" t="s">
        <v>419</v>
      </c>
      <c r="B1909" t="s">
        <v>307</v>
      </c>
      <c r="C1909" s="5" t="str">
        <f>" кв. "&amp;B1909</f>
        <v xml:space="preserve"> кв. 300</v>
      </c>
      <c r="D1909" s="5" t="str">
        <f>CONCATENATE(A1909,C1909)</f>
        <v>Беломорская ул., дом 13 к.1 кв. 300</v>
      </c>
      <c r="E1909" s="3">
        <f>HYPERLINK("https://sao.dolgi.msk.ru/account/1404231643/", 1404231643)</f>
        <v>1404231643</v>
      </c>
      <c r="F1909">
        <v>1255.71</v>
      </c>
    </row>
    <row r="1910" spans="1:6" hidden="1" x14ac:dyDescent="0.25">
      <c r="A1910" t="s">
        <v>419</v>
      </c>
      <c r="B1910" t="s">
        <v>308</v>
      </c>
      <c r="E1910" s="3">
        <f>HYPERLINK("https://sao.dolgi.msk.ru/account/1404230034/", 1404230034)</f>
        <v>1404230034</v>
      </c>
      <c r="F1910">
        <v>-2537.5100000000002</v>
      </c>
    </row>
    <row r="1911" spans="1:6" hidden="1" x14ac:dyDescent="0.25">
      <c r="A1911" t="s">
        <v>419</v>
      </c>
      <c r="B1911" t="s">
        <v>309</v>
      </c>
      <c r="E1911" s="3">
        <f>HYPERLINK("https://sao.dolgi.msk.ru/account/1404229076/", 1404229076)</f>
        <v>1404229076</v>
      </c>
      <c r="F1911">
        <v>-3307.93</v>
      </c>
    </row>
    <row r="1912" spans="1:6" x14ac:dyDescent="0.25">
      <c r="A1912" t="s">
        <v>419</v>
      </c>
      <c r="B1912" t="s">
        <v>310</v>
      </c>
      <c r="C1912" s="5" t="str">
        <f t="shared" ref="C1912:C1915" si="79">" кв. "&amp;B1912</f>
        <v xml:space="preserve"> кв. 303</v>
      </c>
      <c r="D1912" s="5" t="str">
        <f>CONCATENATE(A1912,C1912)</f>
        <v>Беломорская ул., дом 13 к.1 кв. 303</v>
      </c>
      <c r="E1912" s="3">
        <f>HYPERLINK("https://sao.dolgi.msk.ru/account/1404233964/", 1404233964)</f>
        <v>1404233964</v>
      </c>
      <c r="F1912">
        <v>2492.44</v>
      </c>
    </row>
    <row r="1913" spans="1:6" x14ac:dyDescent="0.25">
      <c r="A1913" t="s">
        <v>419</v>
      </c>
      <c r="B1913" t="s">
        <v>311</v>
      </c>
      <c r="C1913" s="5" t="str">
        <f t="shared" si="79"/>
        <v xml:space="preserve"> кв. 304</v>
      </c>
      <c r="D1913" s="5" t="str">
        <f>CONCATENATE(A1913,C1913)</f>
        <v>Беломорская ул., дом 13 к.1 кв. 304</v>
      </c>
      <c r="E1913" s="3">
        <f>HYPERLINK("https://sao.dolgi.msk.ru/account/1404230894/", 1404230894)</f>
        <v>1404230894</v>
      </c>
      <c r="F1913">
        <v>1246.22</v>
      </c>
    </row>
    <row r="1914" spans="1:6" x14ac:dyDescent="0.25">
      <c r="A1914" t="s">
        <v>419</v>
      </c>
      <c r="B1914" t="s">
        <v>312</v>
      </c>
      <c r="C1914" s="5" t="str">
        <f t="shared" si="79"/>
        <v xml:space="preserve"> кв. 305</v>
      </c>
      <c r="D1914" s="5" t="str">
        <f>CONCATENATE(A1914,C1914)</f>
        <v>Беломорская ул., дом 13 к.1 кв. 305</v>
      </c>
      <c r="E1914" s="3">
        <f>HYPERLINK("https://sao.dolgi.msk.ru/account/1404230042/", 1404230042)</f>
        <v>1404230042</v>
      </c>
      <c r="F1914">
        <v>1742.81</v>
      </c>
    </row>
    <row r="1915" spans="1:6" x14ac:dyDescent="0.25">
      <c r="A1915" t="s">
        <v>419</v>
      </c>
      <c r="B1915" t="s">
        <v>313</v>
      </c>
      <c r="C1915" s="5" t="str">
        <f t="shared" si="79"/>
        <v xml:space="preserve"> кв. 306</v>
      </c>
      <c r="D1915" s="5" t="str">
        <f>CONCATENATE(A1915,C1915)</f>
        <v>Беломорская ул., дом 13 к.1 кв. 306</v>
      </c>
      <c r="E1915" s="3">
        <f>HYPERLINK("https://sao.dolgi.msk.ru/account/1404229463/", 1404229463)</f>
        <v>1404229463</v>
      </c>
      <c r="F1915">
        <v>1932.59</v>
      </c>
    </row>
    <row r="1916" spans="1:6" hidden="1" x14ac:dyDescent="0.25">
      <c r="A1916" t="s">
        <v>419</v>
      </c>
      <c r="B1916" t="s">
        <v>314</v>
      </c>
      <c r="E1916" s="3">
        <f>HYPERLINK("https://sao.dolgi.msk.ru/account/1404233956/", 1404233956)</f>
        <v>1404233956</v>
      </c>
      <c r="F1916">
        <v>-2924.84</v>
      </c>
    </row>
    <row r="1917" spans="1:6" hidden="1" x14ac:dyDescent="0.25">
      <c r="A1917" t="s">
        <v>419</v>
      </c>
      <c r="B1917" t="s">
        <v>315</v>
      </c>
      <c r="E1917" s="3">
        <f>HYPERLINK("https://sao.dolgi.msk.ru/account/1404232216/", 1404232216)</f>
        <v>1404232216</v>
      </c>
      <c r="F1917">
        <v>-1821.1</v>
      </c>
    </row>
    <row r="1918" spans="1:6" hidden="1" x14ac:dyDescent="0.25">
      <c r="A1918" t="s">
        <v>419</v>
      </c>
      <c r="B1918" t="s">
        <v>316</v>
      </c>
      <c r="E1918" s="3">
        <f>HYPERLINK("https://sao.dolgi.msk.ru/account/1404232777/", 1404232777)</f>
        <v>1404232777</v>
      </c>
      <c r="F1918">
        <v>-2532.88</v>
      </c>
    </row>
    <row r="1919" spans="1:6" hidden="1" x14ac:dyDescent="0.25">
      <c r="A1919" t="s">
        <v>419</v>
      </c>
      <c r="B1919" t="s">
        <v>317</v>
      </c>
      <c r="E1919" s="3">
        <f>HYPERLINK("https://sao.dolgi.msk.ru/account/1404234414/", 1404234414)</f>
        <v>1404234414</v>
      </c>
      <c r="F1919">
        <v>-3595.97</v>
      </c>
    </row>
    <row r="1920" spans="1:6" hidden="1" x14ac:dyDescent="0.25">
      <c r="A1920" t="s">
        <v>419</v>
      </c>
      <c r="B1920" t="s">
        <v>318</v>
      </c>
      <c r="E1920" s="3">
        <f>HYPERLINK("https://sao.dolgi.msk.ru/account/1404234422/", 1404234422)</f>
        <v>1404234422</v>
      </c>
      <c r="F1920">
        <v>-3637.56</v>
      </c>
    </row>
    <row r="1921" spans="1:6" x14ac:dyDescent="0.25">
      <c r="A1921" t="s">
        <v>419</v>
      </c>
      <c r="B1921" t="s">
        <v>319</v>
      </c>
      <c r="C1921" s="5" t="str">
        <f>" кв. "&amp;B1921</f>
        <v xml:space="preserve"> кв. 312</v>
      </c>
      <c r="D1921" s="5" t="str">
        <f>CONCATENATE(A1921,C1921)</f>
        <v>Беломорская ул., дом 13 к.1 кв. 312</v>
      </c>
      <c r="E1921" s="3">
        <f>HYPERLINK("https://sao.dolgi.msk.ru/account/1404230106/", 1404230106)</f>
        <v>1404230106</v>
      </c>
      <c r="F1921">
        <v>1239.9000000000001</v>
      </c>
    </row>
    <row r="1922" spans="1:6" hidden="1" x14ac:dyDescent="0.25">
      <c r="A1922" t="s">
        <v>419</v>
      </c>
      <c r="B1922" t="s">
        <v>422</v>
      </c>
      <c r="E1922" s="3">
        <f>HYPERLINK("https://sao.dolgi.msk.ru/account/1404228639/", 1404228639)</f>
        <v>1404228639</v>
      </c>
      <c r="F1922">
        <v>0</v>
      </c>
    </row>
    <row r="1923" spans="1:6" hidden="1" x14ac:dyDescent="0.25">
      <c r="A1923" t="s">
        <v>419</v>
      </c>
      <c r="B1923" t="s">
        <v>423</v>
      </c>
      <c r="E1923" s="3">
        <f>HYPERLINK("https://sao.dolgi.msk.ru/account/1404231192/", 1404231192)</f>
        <v>1404231192</v>
      </c>
      <c r="F1923">
        <v>-2833.33</v>
      </c>
    </row>
    <row r="1924" spans="1:6" hidden="1" x14ac:dyDescent="0.25">
      <c r="A1924" t="s">
        <v>419</v>
      </c>
      <c r="B1924" t="s">
        <v>424</v>
      </c>
      <c r="E1924" s="3">
        <f>HYPERLINK("https://sao.dolgi.msk.ru/account/1404229498/", 1404229498)</f>
        <v>1404229498</v>
      </c>
      <c r="F1924">
        <v>-3656.05</v>
      </c>
    </row>
    <row r="1925" spans="1:6" hidden="1" x14ac:dyDescent="0.25">
      <c r="A1925" t="s">
        <v>419</v>
      </c>
      <c r="B1925" t="s">
        <v>425</v>
      </c>
      <c r="E1925" s="3">
        <f>HYPERLINK("https://sao.dolgi.msk.ru/account/1404232224/", 1404232224)</f>
        <v>1404232224</v>
      </c>
      <c r="F1925">
        <v>0</v>
      </c>
    </row>
    <row r="1926" spans="1:6" hidden="1" x14ac:dyDescent="0.25">
      <c r="A1926" t="s">
        <v>419</v>
      </c>
      <c r="B1926" t="s">
        <v>426</v>
      </c>
      <c r="E1926" s="3">
        <f>HYPERLINK("https://sao.dolgi.msk.ru/account/1404227724/", 1404227724)</f>
        <v>1404227724</v>
      </c>
      <c r="F1926">
        <v>-2133.1</v>
      </c>
    </row>
    <row r="1927" spans="1:6" hidden="1" x14ac:dyDescent="0.25">
      <c r="A1927" t="s">
        <v>419</v>
      </c>
      <c r="B1927" t="s">
        <v>427</v>
      </c>
      <c r="E1927" s="3">
        <f>HYPERLINK("https://sao.dolgi.msk.ru/account/1404230667/", 1404230667)</f>
        <v>1404230667</v>
      </c>
      <c r="F1927">
        <v>-3609.84</v>
      </c>
    </row>
    <row r="1928" spans="1:6" x14ac:dyDescent="0.25">
      <c r="A1928" t="s">
        <v>419</v>
      </c>
      <c r="B1928" t="s">
        <v>428</v>
      </c>
      <c r="C1928" s="5" t="str">
        <f>" кв. "&amp;B1928</f>
        <v xml:space="preserve"> кв. 319</v>
      </c>
      <c r="D1928" s="5" t="str">
        <f>CONCATENATE(A1928,C1928)</f>
        <v>Беломорская ул., дом 13 к.1 кв. 319</v>
      </c>
      <c r="E1928" s="3">
        <f>HYPERLINK("https://sao.dolgi.msk.ru/account/1404232523/", 1404232523)</f>
        <v>1404232523</v>
      </c>
      <c r="F1928">
        <v>2492.44</v>
      </c>
    </row>
    <row r="1929" spans="1:6" hidden="1" x14ac:dyDescent="0.25">
      <c r="A1929" t="s">
        <v>419</v>
      </c>
      <c r="B1929" t="s">
        <v>321</v>
      </c>
      <c r="E1929" s="3">
        <f>HYPERLINK("https://sao.dolgi.msk.ru/account/1404229519/", 1404229519)</f>
        <v>1404229519</v>
      </c>
      <c r="F1929">
        <v>-1339.6</v>
      </c>
    </row>
    <row r="1930" spans="1:6" hidden="1" x14ac:dyDescent="0.25">
      <c r="A1930" t="s">
        <v>419</v>
      </c>
      <c r="B1930" t="s">
        <v>322</v>
      </c>
      <c r="E1930" s="3">
        <f>HYPERLINK("https://sao.dolgi.msk.ru/account/1404231563/", 1404231563)</f>
        <v>1404231563</v>
      </c>
      <c r="F1930">
        <v>-2546.75</v>
      </c>
    </row>
    <row r="1931" spans="1:6" hidden="1" x14ac:dyDescent="0.25">
      <c r="A1931" t="s">
        <v>419</v>
      </c>
      <c r="B1931" t="s">
        <v>323</v>
      </c>
      <c r="E1931" s="3">
        <f>HYPERLINK("https://sao.dolgi.msk.ru/account/1404227636/", 1404227636)</f>
        <v>1404227636</v>
      </c>
      <c r="F1931">
        <v>-3577.48</v>
      </c>
    </row>
    <row r="1932" spans="1:6" hidden="1" x14ac:dyDescent="0.25">
      <c r="A1932" t="s">
        <v>419</v>
      </c>
      <c r="B1932" t="s">
        <v>324</v>
      </c>
      <c r="E1932" s="3">
        <f>HYPERLINK("https://sao.dolgi.msk.ru/account/1404227732/", 1404227732)</f>
        <v>1404227732</v>
      </c>
      <c r="F1932">
        <v>0</v>
      </c>
    </row>
    <row r="1933" spans="1:6" x14ac:dyDescent="0.25">
      <c r="A1933" t="s">
        <v>419</v>
      </c>
      <c r="B1933" t="s">
        <v>325</v>
      </c>
      <c r="C1933" s="5" t="str">
        <f>" кв. "&amp;B1933</f>
        <v xml:space="preserve"> кв. 324</v>
      </c>
      <c r="D1933" s="5" t="str">
        <f>CONCATENATE(A1933,C1933)</f>
        <v>Беломорская ул., дом 13 к.1 кв. 324</v>
      </c>
      <c r="E1933" s="3">
        <f>HYPERLINK("https://sao.dolgi.msk.ru/account/1404227679/", 1404227679)</f>
        <v>1404227679</v>
      </c>
      <c r="F1933">
        <v>730.65</v>
      </c>
    </row>
    <row r="1934" spans="1:6" hidden="1" x14ac:dyDescent="0.25">
      <c r="A1934" t="s">
        <v>419</v>
      </c>
      <c r="B1934" t="s">
        <v>326</v>
      </c>
      <c r="E1934" s="3">
        <f>HYPERLINK("https://sao.dolgi.msk.ru/account/1404234481/", 1404234481)</f>
        <v>1404234481</v>
      </c>
      <c r="F1934">
        <v>-2542.13</v>
      </c>
    </row>
    <row r="1935" spans="1:6" x14ac:dyDescent="0.25">
      <c r="A1935" t="s">
        <v>419</v>
      </c>
      <c r="B1935" t="s">
        <v>327</v>
      </c>
      <c r="C1935" s="5" t="str">
        <f>" кв. "&amp;B1935</f>
        <v xml:space="preserve"> кв. 326</v>
      </c>
      <c r="D1935" s="5" t="str">
        <f>CONCATENATE(A1935,C1935)</f>
        <v>Беломорская ул., дом 13 к.1 кв. 326</v>
      </c>
      <c r="E1935" s="3">
        <f>HYPERLINK("https://sao.dolgi.msk.ru/account/1404231205/", 1404231205)</f>
        <v>1404231205</v>
      </c>
      <c r="F1935">
        <v>2460.81</v>
      </c>
    </row>
    <row r="1936" spans="1:6" hidden="1" x14ac:dyDescent="0.25">
      <c r="A1936" t="s">
        <v>419</v>
      </c>
      <c r="B1936" t="s">
        <v>328</v>
      </c>
      <c r="E1936" s="3">
        <f>HYPERLINK("https://sao.dolgi.msk.ru/account/1404231555/", 1404231555)</f>
        <v>1404231555</v>
      </c>
      <c r="F1936">
        <v>-2561.3000000000002</v>
      </c>
    </row>
    <row r="1937" spans="1:6" hidden="1" x14ac:dyDescent="0.25">
      <c r="A1937" t="s">
        <v>419</v>
      </c>
      <c r="B1937" t="s">
        <v>329</v>
      </c>
      <c r="E1937" s="3">
        <f>HYPERLINK("https://sao.dolgi.msk.ru/account/1404232064/", 1404232064)</f>
        <v>1404232064</v>
      </c>
      <c r="F1937">
        <v>0</v>
      </c>
    </row>
    <row r="1938" spans="1:6" hidden="1" x14ac:dyDescent="0.25">
      <c r="A1938" t="s">
        <v>419</v>
      </c>
      <c r="B1938" t="s">
        <v>330</v>
      </c>
      <c r="E1938" s="3">
        <f>HYPERLINK("https://sao.dolgi.msk.ru/account/1404231213/", 1404231213)</f>
        <v>1404231213</v>
      </c>
      <c r="F1938">
        <v>-2301.39</v>
      </c>
    </row>
    <row r="1939" spans="1:6" hidden="1" x14ac:dyDescent="0.25">
      <c r="A1939" t="s">
        <v>419</v>
      </c>
      <c r="B1939" t="s">
        <v>331</v>
      </c>
      <c r="E1939" s="3">
        <f>HYPERLINK("https://sao.dolgi.msk.ru/account/1404228356/", 1404228356)</f>
        <v>1404228356</v>
      </c>
      <c r="F1939">
        <v>-1183.6199999999999</v>
      </c>
    </row>
    <row r="1940" spans="1:6" hidden="1" x14ac:dyDescent="0.25">
      <c r="A1940" t="s">
        <v>419</v>
      </c>
      <c r="B1940" t="s">
        <v>331</v>
      </c>
      <c r="E1940" s="3">
        <f>HYPERLINK("https://sao.dolgi.msk.ru/account/1404232232/", 1404232232)</f>
        <v>1404232232</v>
      </c>
      <c r="F1940">
        <v>-1606.55</v>
      </c>
    </row>
    <row r="1941" spans="1:6" hidden="1" x14ac:dyDescent="0.25">
      <c r="A1941" t="s">
        <v>419</v>
      </c>
      <c r="B1941" t="s">
        <v>332</v>
      </c>
      <c r="E1941" s="3">
        <f>HYPERLINK("https://sao.dolgi.msk.ru/account/1404227759/", 1404227759)</f>
        <v>1404227759</v>
      </c>
      <c r="F1941">
        <v>-3600.6</v>
      </c>
    </row>
    <row r="1942" spans="1:6" hidden="1" x14ac:dyDescent="0.25">
      <c r="A1942" t="s">
        <v>419</v>
      </c>
      <c r="B1942" t="s">
        <v>333</v>
      </c>
      <c r="E1942" s="3">
        <f>HYPERLINK("https://sao.dolgi.msk.ru/account/1404231221/", 1404231221)</f>
        <v>1404231221</v>
      </c>
      <c r="F1942">
        <v>-1816.48</v>
      </c>
    </row>
    <row r="1943" spans="1:6" hidden="1" x14ac:dyDescent="0.25">
      <c r="A1943" t="s">
        <v>419</v>
      </c>
      <c r="B1943" t="s">
        <v>334</v>
      </c>
      <c r="E1943" s="3">
        <f>HYPERLINK("https://sao.dolgi.msk.ru/account/1404234254/", 1404234254)</f>
        <v>1404234254</v>
      </c>
      <c r="F1943">
        <v>0</v>
      </c>
    </row>
    <row r="1944" spans="1:6" hidden="1" x14ac:dyDescent="0.25">
      <c r="A1944" t="s">
        <v>419</v>
      </c>
      <c r="B1944" t="s">
        <v>335</v>
      </c>
      <c r="E1944" s="3">
        <f>HYPERLINK("https://sao.dolgi.msk.ru/account/1404227097/", 1404227097)</f>
        <v>1404227097</v>
      </c>
      <c r="F1944">
        <v>-3312.19</v>
      </c>
    </row>
    <row r="1945" spans="1:6" hidden="1" x14ac:dyDescent="0.25">
      <c r="A1945" t="s">
        <v>419</v>
      </c>
      <c r="B1945" t="s">
        <v>336</v>
      </c>
      <c r="E1945" s="3">
        <f>HYPERLINK("https://sao.dolgi.msk.ru/account/1404229826/", 1404229826)</f>
        <v>1404229826</v>
      </c>
      <c r="F1945">
        <v>0</v>
      </c>
    </row>
    <row r="1946" spans="1:6" hidden="1" x14ac:dyDescent="0.25">
      <c r="A1946" t="s">
        <v>419</v>
      </c>
      <c r="B1946" t="s">
        <v>337</v>
      </c>
      <c r="E1946" s="3">
        <f>HYPERLINK("https://sao.dolgi.msk.ru/account/1404230632/", 1404230632)</f>
        <v>1404230632</v>
      </c>
      <c r="F1946">
        <v>-1067.71</v>
      </c>
    </row>
    <row r="1947" spans="1:6" hidden="1" x14ac:dyDescent="0.25">
      <c r="A1947" t="s">
        <v>419</v>
      </c>
      <c r="B1947" t="s">
        <v>338</v>
      </c>
      <c r="E1947" s="3">
        <f>HYPERLINK("https://sao.dolgi.msk.ru/account/1404227767/", 1404227767)</f>
        <v>1404227767</v>
      </c>
      <c r="F1947">
        <v>0</v>
      </c>
    </row>
    <row r="1948" spans="1:6" hidden="1" x14ac:dyDescent="0.25">
      <c r="A1948" t="s">
        <v>419</v>
      </c>
      <c r="B1948" t="s">
        <v>339</v>
      </c>
      <c r="E1948" s="3">
        <f>HYPERLINK("https://sao.dolgi.msk.ru/account/1404229375/", 1404229375)</f>
        <v>1404229375</v>
      </c>
      <c r="F1948">
        <v>0</v>
      </c>
    </row>
    <row r="1949" spans="1:6" hidden="1" x14ac:dyDescent="0.25">
      <c r="A1949" t="s">
        <v>419</v>
      </c>
      <c r="B1949" t="s">
        <v>340</v>
      </c>
      <c r="E1949" s="3">
        <f>HYPERLINK("https://sao.dolgi.msk.ru/account/1404229324/", 1404229324)</f>
        <v>1404229324</v>
      </c>
      <c r="F1949">
        <v>-3642.18</v>
      </c>
    </row>
    <row r="1950" spans="1:6" x14ac:dyDescent="0.25">
      <c r="A1950" t="s">
        <v>419</v>
      </c>
      <c r="B1950" t="s">
        <v>341</v>
      </c>
      <c r="C1950" s="5" t="str">
        <f>" кв. "&amp;B1950</f>
        <v xml:space="preserve"> кв. 340</v>
      </c>
      <c r="D1950" s="5" t="str">
        <f>CONCATENATE(A1950,C1950)</f>
        <v>Беломорская ул., дом 13 к.1 кв. 340</v>
      </c>
      <c r="E1950" s="3">
        <f>HYPERLINK("https://sao.dolgi.msk.ru/account/1404230886/", 1404230886)</f>
        <v>1404230886</v>
      </c>
      <c r="F1950">
        <v>1246.22</v>
      </c>
    </row>
    <row r="1951" spans="1:6" hidden="1" x14ac:dyDescent="0.25">
      <c r="A1951" t="s">
        <v>419</v>
      </c>
      <c r="B1951" t="s">
        <v>342</v>
      </c>
      <c r="E1951" s="3">
        <f>HYPERLINK("https://sao.dolgi.msk.ru/account/1404233729/", 1404233729)</f>
        <v>1404233729</v>
      </c>
      <c r="F1951">
        <v>-2537.5100000000002</v>
      </c>
    </row>
    <row r="1952" spans="1:6" hidden="1" x14ac:dyDescent="0.25">
      <c r="A1952" t="s">
        <v>419</v>
      </c>
      <c r="B1952" t="s">
        <v>343</v>
      </c>
      <c r="E1952" s="3">
        <f>HYPERLINK("https://sao.dolgi.msk.ru/account/1404228903/", 1404228903)</f>
        <v>1404228903</v>
      </c>
      <c r="F1952">
        <v>-3614.47</v>
      </c>
    </row>
    <row r="1953" spans="1:6" hidden="1" x14ac:dyDescent="0.25">
      <c r="A1953" t="s">
        <v>419</v>
      </c>
      <c r="B1953" t="s">
        <v>344</v>
      </c>
      <c r="E1953" s="3">
        <f>HYPERLINK("https://sao.dolgi.msk.ru/account/1404227118/", 1404227118)</f>
        <v>1404227118</v>
      </c>
      <c r="F1953">
        <v>-3203.1</v>
      </c>
    </row>
    <row r="1954" spans="1:6" hidden="1" x14ac:dyDescent="0.25">
      <c r="A1954" t="s">
        <v>419</v>
      </c>
      <c r="B1954" t="s">
        <v>345</v>
      </c>
      <c r="E1954" s="3">
        <f>HYPERLINK("https://sao.dolgi.msk.ru/account/1404228911/", 1404228911)</f>
        <v>1404228911</v>
      </c>
      <c r="F1954">
        <v>0</v>
      </c>
    </row>
    <row r="1955" spans="1:6" hidden="1" x14ac:dyDescent="0.25">
      <c r="A1955" t="s">
        <v>419</v>
      </c>
      <c r="B1955" t="s">
        <v>346</v>
      </c>
      <c r="E1955" s="3">
        <f>HYPERLINK("https://sao.dolgi.msk.ru/account/1404227126/", 1404227126)</f>
        <v>1404227126</v>
      </c>
      <c r="F1955">
        <v>-1784.11</v>
      </c>
    </row>
    <row r="1956" spans="1:6" x14ac:dyDescent="0.25">
      <c r="A1956" t="s">
        <v>419</v>
      </c>
      <c r="B1956" t="s">
        <v>347</v>
      </c>
      <c r="C1956" s="5" t="str">
        <f>" кв. "&amp;B1956</f>
        <v xml:space="preserve"> кв. 346</v>
      </c>
      <c r="D1956" s="5" t="str">
        <f>CONCATENATE(A1956,C1956)</f>
        <v>Беломорская ул., дом 13 к.1 кв. 346</v>
      </c>
      <c r="E1956" s="3">
        <f>HYPERLINK("https://sao.dolgi.msk.ru/account/1404229834/", 1404229834)</f>
        <v>1404229834</v>
      </c>
      <c r="F1956">
        <v>2463.98</v>
      </c>
    </row>
    <row r="1957" spans="1:6" hidden="1" x14ac:dyDescent="0.25">
      <c r="A1957" t="s">
        <v>419</v>
      </c>
      <c r="B1957" t="s">
        <v>348</v>
      </c>
      <c r="E1957" s="3">
        <f>HYPERLINK("https://sao.dolgi.msk.ru/account/1404231715/", 1404231715)</f>
        <v>1404231715</v>
      </c>
      <c r="F1957">
        <v>-3646.81</v>
      </c>
    </row>
    <row r="1958" spans="1:6" x14ac:dyDescent="0.25">
      <c r="A1958" t="s">
        <v>419</v>
      </c>
      <c r="B1958" t="s">
        <v>349</v>
      </c>
      <c r="C1958" s="5" t="str">
        <f>" кв. "&amp;B1958</f>
        <v xml:space="preserve"> кв. 348</v>
      </c>
      <c r="D1958" s="5" t="str">
        <f>CONCATENATE(A1958,C1958)</f>
        <v>Беломорская ул., дом 13 к.1 кв. 348</v>
      </c>
      <c r="E1958" s="3">
        <f>HYPERLINK("https://sao.dolgi.msk.ru/account/1404228014/", 1404228014)</f>
        <v>1404228014</v>
      </c>
      <c r="F1958">
        <v>1236.73</v>
      </c>
    </row>
    <row r="1959" spans="1:6" hidden="1" x14ac:dyDescent="0.25">
      <c r="A1959" t="s">
        <v>419</v>
      </c>
      <c r="B1959" t="s">
        <v>350</v>
      </c>
      <c r="E1959" s="3">
        <f>HYPERLINK("https://sao.dolgi.msk.ru/account/1404231539/", 1404231539)</f>
        <v>1404231539</v>
      </c>
      <c r="F1959">
        <v>-1607.32</v>
      </c>
    </row>
    <row r="1960" spans="1:6" hidden="1" x14ac:dyDescent="0.25">
      <c r="A1960" t="s">
        <v>419</v>
      </c>
      <c r="B1960" t="s">
        <v>351</v>
      </c>
      <c r="E1960" s="3">
        <f>HYPERLINK("https://sao.dolgi.msk.ru/account/1404230157/", 1404230157)</f>
        <v>1404230157</v>
      </c>
      <c r="F1960">
        <v>-3020.61</v>
      </c>
    </row>
    <row r="1961" spans="1:6" x14ac:dyDescent="0.25">
      <c r="A1961" t="s">
        <v>419</v>
      </c>
      <c r="B1961" t="s">
        <v>352</v>
      </c>
      <c r="C1961" s="5" t="str">
        <f>" кв. "&amp;B1961</f>
        <v xml:space="preserve"> кв. 351</v>
      </c>
      <c r="D1961" s="5" t="str">
        <f>CONCATENATE(A1961,C1961)</f>
        <v>Беломорская ул., дом 13 к.1 кв. 351</v>
      </c>
      <c r="E1961" s="3">
        <f>HYPERLINK("https://sao.dolgi.msk.ru/account/1404231002/", 1404231002)</f>
        <v>1404231002</v>
      </c>
      <c r="F1961">
        <v>2186.42</v>
      </c>
    </row>
    <row r="1962" spans="1:6" hidden="1" x14ac:dyDescent="0.25">
      <c r="A1962" t="s">
        <v>419</v>
      </c>
      <c r="B1962" t="s">
        <v>353</v>
      </c>
      <c r="E1962" s="3">
        <f>HYPERLINK("https://sao.dolgi.msk.ru/account/1404232769/", 1404232769)</f>
        <v>1404232769</v>
      </c>
      <c r="F1962">
        <v>0</v>
      </c>
    </row>
    <row r="1963" spans="1:6" x14ac:dyDescent="0.25">
      <c r="A1963" t="s">
        <v>419</v>
      </c>
      <c r="B1963" t="s">
        <v>354</v>
      </c>
      <c r="C1963" s="5" t="str">
        <f>" кв. "&amp;B1963</f>
        <v xml:space="preserve"> кв. 353</v>
      </c>
      <c r="D1963" s="5" t="str">
        <f>CONCATENATE(A1963,C1963)</f>
        <v>Беломорская ул., дом 13 к.1 кв. 353</v>
      </c>
      <c r="E1963" s="3">
        <f>HYPERLINK("https://sao.dolgi.msk.ru/account/1404228348/", 1404228348)</f>
        <v>1404228348</v>
      </c>
      <c r="F1963">
        <v>888.8</v>
      </c>
    </row>
    <row r="1964" spans="1:6" hidden="1" x14ac:dyDescent="0.25">
      <c r="A1964" t="s">
        <v>419</v>
      </c>
      <c r="B1964" t="s">
        <v>355</v>
      </c>
      <c r="E1964" s="3">
        <f>HYPERLINK("https://sao.dolgi.msk.ru/account/1404231707/", 1404231707)</f>
        <v>1404231707</v>
      </c>
      <c r="F1964">
        <v>-2985.28</v>
      </c>
    </row>
    <row r="1965" spans="1:6" hidden="1" x14ac:dyDescent="0.25">
      <c r="A1965" t="s">
        <v>419</v>
      </c>
      <c r="B1965" t="s">
        <v>356</v>
      </c>
      <c r="E1965" s="3">
        <f>HYPERLINK("https://sao.dolgi.msk.ru/account/1404230341/", 1404230341)</f>
        <v>1404230341</v>
      </c>
      <c r="F1965">
        <v>0</v>
      </c>
    </row>
    <row r="1966" spans="1:6" hidden="1" x14ac:dyDescent="0.25">
      <c r="A1966" t="s">
        <v>419</v>
      </c>
      <c r="B1966" t="s">
        <v>357</v>
      </c>
      <c r="E1966" s="3">
        <f>HYPERLINK("https://sao.dolgi.msk.ru/account/1404234377/", 1404234377)</f>
        <v>1404234377</v>
      </c>
      <c r="F1966">
        <v>-1821.1</v>
      </c>
    </row>
    <row r="1967" spans="1:6" hidden="1" x14ac:dyDescent="0.25">
      <c r="A1967" t="s">
        <v>419</v>
      </c>
      <c r="B1967" t="s">
        <v>358</v>
      </c>
      <c r="E1967" s="3">
        <f>HYPERLINK("https://sao.dolgi.msk.ru/account/1404227337/", 1404227337)</f>
        <v>1404227337</v>
      </c>
      <c r="F1967">
        <v>-2129.2199999999998</v>
      </c>
    </row>
    <row r="1968" spans="1:6" x14ac:dyDescent="0.25">
      <c r="A1968" t="s">
        <v>419</v>
      </c>
      <c r="B1968" t="s">
        <v>359</v>
      </c>
      <c r="C1968" s="5" t="str">
        <f>" кв. "&amp;B1968</f>
        <v xml:space="preserve"> кв. 358</v>
      </c>
      <c r="D1968" s="5" t="str">
        <f>CONCATENATE(A1968,C1968)</f>
        <v>Беломорская ул., дом 13 к.1 кв. 358</v>
      </c>
      <c r="E1968" s="3">
        <f>HYPERLINK("https://sao.dolgi.msk.ru/account/1404230878/", 1404230878)</f>
        <v>1404230878</v>
      </c>
      <c r="F1968">
        <v>2451.33</v>
      </c>
    </row>
    <row r="1969" spans="1:6" hidden="1" x14ac:dyDescent="0.25">
      <c r="A1969" t="s">
        <v>419</v>
      </c>
      <c r="B1969" t="s">
        <v>360</v>
      </c>
      <c r="E1969" s="3">
        <f>HYPERLINK("https://sao.dolgi.msk.ru/account/1404233112/", 1404233112)</f>
        <v>1404233112</v>
      </c>
      <c r="F1969">
        <v>0</v>
      </c>
    </row>
    <row r="1970" spans="1:6" hidden="1" x14ac:dyDescent="0.25">
      <c r="A1970" t="s">
        <v>419</v>
      </c>
      <c r="B1970" t="s">
        <v>361</v>
      </c>
      <c r="E1970" s="3">
        <f>HYPERLINK("https://sao.dolgi.msk.ru/account/1404232144/", 1404232144)</f>
        <v>1404232144</v>
      </c>
      <c r="F1970">
        <v>-1537.57</v>
      </c>
    </row>
    <row r="1971" spans="1:6" x14ac:dyDescent="0.25">
      <c r="A1971" t="s">
        <v>419</v>
      </c>
      <c r="B1971" t="s">
        <v>362</v>
      </c>
      <c r="C1971" s="5" t="str">
        <f>" кв. "&amp;B1971</f>
        <v xml:space="preserve"> кв. 361</v>
      </c>
      <c r="D1971" s="5" t="str">
        <f>CONCATENATE(A1971,C1971)</f>
        <v>Беломорская ул., дом 13 к.1 кв. 361</v>
      </c>
      <c r="E1971" s="3">
        <f>HYPERLINK("https://sao.dolgi.msk.ru/account/1404228508/", 1404228508)</f>
        <v>1404228508</v>
      </c>
      <c r="F1971">
        <v>1733.32</v>
      </c>
    </row>
    <row r="1972" spans="1:6" hidden="1" x14ac:dyDescent="0.25">
      <c r="A1972" t="s">
        <v>419</v>
      </c>
      <c r="B1972" t="s">
        <v>363</v>
      </c>
      <c r="E1972" s="3">
        <f>HYPERLINK("https://sao.dolgi.msk.ru/account/1404228516/", 1404228516)</f>
        <v>1404228516</v>
      </c>
      <c r="F1972">
        <v>0</v>
      </c>
    </row>
    <row r="1973" spans="1:6" hidden="1" x14ac:dyDescent="0.25">
      <c r="A1973" t="s">
        <v>419</v>
      </c>
      <c r="B1973" t="s">
        <v>364</v>
      </c>
      <c r="E1973" s="3">
        <f>HYPERLINK("https://sao.dolgi.msk.ru/account/1404228524/", 1404228524)</f>
        <v>1404228524</v>
      </c>
      <c r="F1973">
        <v>-3525.1</v>
      </c>
    </row>
    <row r="1974" spans="1:6" x14ac:dyDescent="0.25">
      <c r="A1974" t="s">
        <v>419</v>
      </c>
      <c r="B1974" t="s">
        <v>365</v>
      </c>
      <c r="C1974" s="5" t="str">
        <f>" кв. "&amp;B1974</f>
        <v xml:space="preserve"> кв. 364</v>
      </c>
      <c r="D1974" s="5" t="str">
        <f>CONCATENATE(A1974,C1974)</f>
        <v>Беломорская ул., дом 13 к.1 кв. 364</v>
      </c>
      <c r="E1974" s="3">
        <f>HYPERLINK("https://sao.dolgi.msk.ru/account/1404232152/", 1404232152)</f>
        <v>1404232152</v>
      </c>
      <c r="F1974">
        <v>1249.3900000000001</v>
      </c>
    </row>
    <row r="1975" spans="1:6" hidden="1" x14ac:dyDescent="0.25">
      <c r="A1975" t="s">
        <v>419</v>
      </c>
      <c r="B1975" t="s">
        <v>366</v>
      </c>
      <c r="E1975" s="3">
        <f>HYPERLINK("https://sao.dolgi.msk.ru/account/1404232582/", 1404232582)</f>
        <v>1404232582</v>
      </c>
      <c r="F1975">
        <v>-2532.88</v>
      </c>
    </row>
    <row r="1976" spans="1:6" hidden="1" x14ac:dyDescent="0.25">
      <c r="A1976" t="s">
        <v>419</v>
      </c>
      <c r="B1976" t="s">
        <v>367</v>
      </c>
      <c r="E1976" s="3">
        <f>HYPERLINK("https://sao.dolgi.msk.ru/account/1404233219/", 1404233219)</f>
        <v>1404233219</v>
      </c>
      <c r="F1976">
        <v>-3558.99</v>
      </c>
    </row>
    <row r="1977" spans="1:6" hidden="1" x14ac:dyDescent="0.25">
      <c r="A1977" t="s">
        <v>419</v>
      </c>
      <c r="B1977" t="s">
        <v>368</v>
      </c>
      <c r="E1977" s="3">
        <f>HYPERLINK("https://sao.dolgi.msk.ru/account/1404234086/", 1404234086)</f>
        <v>1404234086</v>
      </c>
      <c r="F1977">
        <v>-3656.05</v>
      </c>
    </row>
    <row r="1978" spans="1:6" x14ac:dyDescent="0.25">
      <c r="A1978" t="s">
        <v>419</v>
      </c>
      <c r="B1978" t="s">
        <v>369</v>
      </c>
      <c r="C1978" s="5" t="str">
        <f t="shared" ref="C1978:C1979" si="80">" кв. "&amp;B1978</f>
        <v xml:space="preserve"> кв. 368</v>
      </c>
      <c r="D1978" s="5" t="str">
        <f>CONCATENATE(A1978,C1978)</f>
        <v>Беломорская ул., дом 13 к.1 кв. 368</v>
      </c>
      <c r="E1978" s="3">
        <f>HYPERLINK("https://sao.dolgi.msk.ru/account/1404233227/", 1404233227)</f>
        <v>1404233227</v>
      </c>
      <c r="F1978">
        <v>1252.55</v>
      </c>
    </row>
    <row r="1979" spans="1:6" x14ac:dyDescent="0.25">
      <c r="A1979" t="s">
        <v>419</v>
      </c>
      <c r="B1979" t="s">
        <v>370</v>
      </c>
      <c r="C1979" s="5" t="str">
        <f t="shared" si="80"/>
        <v xml:space="preserve"> кв. 369</v>
      </c>
      <c r="D1979" s="5" t="str">
        <f>CONCATENATE(A1979,C1979)</f>
        <v>Беломорская ул., дом 13 к.1 кв. 369</v>
      </c>
      <c r="E1979" s="3">
        <f>HYPERLINK("https://sao.dolgi.msk.ru/account/1404234385/", 1404234385)</f>
        <v>1404234385</v>
      </c>
      <c r="F1979">
        <v>1739.65</v>
      </c>
    </row>
    <row r="1980" spans="1:6" hidden="1" x14ac:dyDescent="0.25">
      <c r="A1980" t="s">
        <v>419</v>
      </c>
      <c r="B1980" t="s">
        <v>371</v>
      </c>
      <c r="E1980" s="3">
        <f>HYPERLINK("https://sao.dolgi.msk.ru/account/1404227652/", 1404227652)</f>
        <v>1404227652</v>
      </c>
      <c r="F1980">
        <v>0</v>
      </c>
    </row>
    <row r="1981" spans="1:6" hidden="1" x14ac:dyDescent="0.25">
      <c r="A1981" t="s">
        <v>419</v>
      </c>
      <c r="B1981" t="s">
        <v>372</v>
      </c>
      <c r="E1981" s="3">
        <f>HYPERLINK("https://sao.dolgi.msk.ru/account/1404227273/", 1404227273)</f>
        <v>1404227273</v>
      </c>
      <c r="F1981">
        <v>-2902.66</v>
      </c>
    </row>
    <row r="1982" spans="1:6" hidden="1" x14ac:dyDescent="0.25">
      <c r="A1982" t="s">
        <v>419</v>
      </c>
      <c r="B1982" t="s">
        <v>373</v>
      </c>
      <c r="E1982" s="3">
        <f>HYPERLINK("https://sao.dolgi.msk.ru/account/1404230771/", 1404230771)</f>
        <v>1404230771</v>
      </c>
      <c r="F1982">
        <v>-1344.23</v>
      </c>
    </row>
    <row r="1983" spans="1:6" x14ac:dyDescent="0.25">
      <c r="A1983" t="s">
        <v>419</v>
      </c>
      <c r="B1983" t="s">
        <v>374</v>
      </c>
      <c r="C1983" s="5" t="str">
        <f>" кв. "&amp;B1983</f>
        <v xml:space="preserve"> кв. 373</v>
      </c>
      <c r="D1983" s="5" t="str">
        <f>CONCATENATE(A1983,C1983)</f>
        <v>Беломорская ул., дом 13 к.1 кв. 373</v>
      </c>
      <c r="E1983" s="3">
        <f>HYPERLINK("https://sao.dolgi.msk.ru/account/1404227644/", 1404227644)</f>
        <v>1404227644</v>
      </c>
      <c r="F1983">
        <v>1733.32</v>
      </c>
    </row>
    <row r="1984" spans="1:6" hidden="1" x14ac:dyDescent="0.25">
      <c r="A1984" t="s">
        <v>419</v>
      </c>
      <c r="B1984" t="s">
        <v>375</v>
      </c>
      <c r="E1984" s="3">
        <f>HYPERLINK("https://sao.dolgi.msk.ru/account/1404228559/", 1404228559)</f>
        <v>1404228559</v>
      </c>
      <c r="F1984">
        <v>0</v>
      </c>
    </row>
    <row r="1985" spans="1:6" hidden="1" x14ac:dyDescent="0.25">
      <c r="A1985" t="s">
        <v>419</v>
      </c>
      <c r="B1985" t="s">
        <v>376</v>
      </c>
      <c r="E1985" s="3">
        <f>HYPERLINK("https://sao.dolgi.msk.ru/account/1404227142/", 1404227142)</f>
        <v>1404227142</v>
      </c>
      <c r="F1985">
        <v>-1812.09</v>
      </c>
    </row>
    <row r="1986" spans="1:6" hidden="1" x14ac:dyDescent="0.25">
      <c r="A1986" t="s">
        <v>419</v>
      </c>
      <c r="B1986" t="s">
        <v>377</v>
      </c>
      <c r="E1986" s="3">
        <f>HYPERLINK("https://sao.dolgi.msk.ru/account/1404227791/", 1404227791)</f>
        <v>1404227791</v>
      </c>
      <c r="F1986">
        <v>-2506.54</v>
      </c>
    </row>
    <row r="1987" spans="1:6" hidden="1" x14ac:dyDescent="0.25">
      <c r="A1987" t="s">
        <v>419</v>
      </c>
      <c r="B1987" t="s">
        <v>378</v>
      </c>
      <c r="E1987" s="3">
        <f>HYPERLINK("https://sao.dolgi.msk.ru/account/1404228305/", 1404228305)</f>
        <v>1404228305</v>
      </c>
      <c r="F1987">
        <v>-1873.74</v>
      </c>
    </row>
    <row r="1988" spans="1:6" hidden="1" x14ac:dyDescent="0.25">
      <c r="A1988" t="s">
        <v>419</v>
      </c>
      <c r="B1988" t="s">
        <v>379</v>
      </c>
      <c r="E1988" s="3">
        <f>HYPERLINK("https://sao.dolgi.msk.ru/account/1404229244/", 1404229244)</f>
        <v>1404229244</v>
      </c>
      <c r="F1988">
        <v>-1783.34</v>
      </c>
    </row>
    <row r="1989" spans="1:6" hidden="1" x14ac:dyDescent="0.25">
      <c r="A1989" t="s">
        <v>419</v>
      </c>
      <c r="B1989" t="s">
        <v>380</v>
      </c>
      <c r="E1989" s="3">
        <f>HYPERLINK("https://sao.dolgi.msk.ru/account/1404227169/", 1404227169)</f>
        <v>1404227169</v>
      </c>
      <c r="F1989">
        <v>0</v>
      </c>
    </row>
    <row r="1990" spans="1:6" hidden="1" x14ac:dyDescent="0.25">
      <c r="A1990" t="s">
        <v>419</v>
      </c>
      <c r="B1990" t="s">
        <v>381</v>
      </c>
      <c r="E1990" s="3">
        <f>HYPERLINK("https://sao.dolgi.msk.ru/account/1404229869/", 1404229869)</f>
        <v>1404229869</v>
      </c>
      <c r="F1990">
        <v>0</v>
      </c>
    </row>
    <row r="1991" spans="1:6" x14ac:dyDescent="0.25">
      <c r="A1991" t="s">
        <v>419</v>
      </c>
      <c r="B1991" t="s">
        <v>382</v>
      </c>
      <c r="C1991" s="5" t="str">
        <f>" кв. "&amp;B1991</f>
        <v xml:space="preserve"> кв. 381</v>
      </c>
      <c r="D1991" s="5" t="str">
        <f>CONCATENATE(A1991,C1991)</f>
        <v>Беломорская ул., дом 13 к.1 кв. 381</v>
      </c>
      <c r="E1991" s="3">
        <f>HYPERLINK("https://sao.dolgi.msk.ru/account/1404232558/", 1404232558)</f>
        <v>1404232558</v>
      </c>
      <c r="F1991">
        <v>1344.28</v>
      </c>
    </row>
    <row r="1992" spans="1:6" hidden="1" x14ac:dyDescent="0.25">
      <c r="A1992" t="s">
        <v>419</v>
      </c>
      <c r="B1992" t="s">
        <v>383</v>
      </c>
      <c r="E1992" s="3">
        <f>HYPERLINK("https://sao.dolgi.msk.ru/account/1404233155/", 1404233155)</f>
        <v>1404233155</v>
      </c>
      <c r="F1992">
        <v>-1453.65</v>
      </c>
    </row>
    <row r="1993" spans="1:6" hidden="1" x14ac:dyDescent="0.25">
      <c r="A1993" t="s">
        <v>419</v>
      </c>
      <c r="B1993" t="s">
        <v>384</v>
      </c>
      <c r="E1993" s="3">
        <f>HYPERLINK("https://sao.dolgi.msk.ru/account/1404234297/", 1404234297)</f>
        <v>1404234297</v>
      </c>
      <c r="F1993">
        <v>-1897.31</v>
      </c>
    </row>
    <row r="1994" spans="1:6" hidden="1" x14ac:dyDescent="0.25">
      <c r="A1994" t="s">
        <v>419</v>
      </c>
      <c r="B1994" t="s">
        <v>385</v>
      </c>
      <c r="E1994" s="3">
        <f>HYPERLINK("https://sao.dolgi.msk.ru/account/1404230763/", 1404230763)</f>
        <v>1404230763</v>
      </c>
      <c r="F1994">
        <v>0</v>
      </c>
    </row>
    <row r="1995" spans="1:6" hidden="1" x14ac:dyDescent="0.25">
      <c r="A1995" t="s">
        <v>419</v>
      </c>
      <c r="B1995" t="s">
        <v>386</v>
      </c>
      <c r="E1995" s="3">
        <f>HYPERLINK("https://sao.dolgi.msk.ru/account/1404230798/", 1404230798)</f>
        <v>1404230798</v>
      </c>
      <c r="F1995">
        <v>0</v>
      </c>
    </row>
    <row r="1996" spans="1:6" hidden="1" x14ac:dyDescent="0.25">
      <c r="A1996" t="s">
        <v>419</v>
      </c>
      <c r="B1996" t="s">
        <v>387</v>
      </c>
      <c r="E1996" s="3">
        <f>HYPERLINK("https://sao.dolgi.msk.ru/account/1404233876/", 1404233876)</f>
        <v>1404233876</v>
      </c>
      <c r="F1996">
        <v>-966.02</v>
      </c>
    </row>
    <row r="1997" spans="1:6" x14ac:dyDescent="0.25">
      <c r="A1997" t="s">
        <v>419</v>
      </c>
      <c r="B1997" t="s">
        <v>388</v>
      </c>
      <c r="C1997" s="5" t="str">
        <f>" кв. "&amp;B1997</f>
        <v xml:space="preserve"> кв. 387</v>
      </c>
      <c r="D1997" s="5" t="str">
        <f>CONCATENATE(A1997,C1997)</f>
        <v>Беломорская ул., дом 13 к.1 кв. 387</v>
      </c>
      <c r="E1997" s="3">
        <f>HYPERLINK("https://sao.dolgi.msk.ru/account/1404233163/", 1404233163)</f>
        <v>1404233163</v>
      </c>
      <c r="F1997">
        <v>1456.56</v>
      </c>
    </row>
    <row r="1998" spans="1:6" hidden="1" x14ac:dyDescent="0.25">
      <c r="A1998" t="s">
        <v>419</v>
      </c>
      <c r="B1998" t="s">
        <v>389</v>
      </c>
      <c r="E1998" s="3">
        <f>HYPERLINK("https://sao.dolgi.msk.ru/account/1404232101/", 1404232101)</f>
        <v>1404232101</v>
      </c>
      <c r="F1998">
        <v>0</v>
      </c>
    </row>
    <row r="1999" spans="1:6" hidden="1" x14ac:dyDescent="0.25">
      <c r="A1999" t="s">
        <v>419</v>
      </c>
      <c r="B1999" t="s">
        <v>390</v>
      </c>
      <c r="E1999" s="3">
        <f>HYPERLINK("https://sao.dolgi.msk.ru/account/1404228444/", 1404228444)</f>
        <v>1404228444</v>
      </c>
      <c r="F1999">
        <v>-2657.69</v>
      </c>
    </row>
    <row r="2000" spans="1:6" hidden="1" x14ac:dyDescent="0.25">
      <c r="A2000" t="s">
        <v>419</v>
      </c>
      <c r="B2000" t="s">
        <v>391</v>
      </c>
      <c r="E2000" s="3">
        <f>HYPERLINK("https://sao.dolgi.msk.ru/account/1404227572/", 1404227572)</f>
        <v>1404227572</v>
      </c>
      <c r="F2000">
        <v>0</v>
      </c>
    </row>
    <row r="2001" spans="1:6" x14ac:dyDescent="0.25">
      <c r="A2001" t="s">
        <v>419</v>
      </c>
      <c r="B2001" t="s">
        <v>392</v>
      </c>
      <c r="C2001" s="5" t="str">
        <f>" кв. "&amp;B2001</f>
        <v xml:space="preserve"> кв. 391</v>
      </c>
      <c r="D2001" s="5" t="str">
        <f>CONCATENATE(A2001,C2001)</f>
        <v>Беломорская ул., дом 13 к.1 кв. 391</v>
      </c>
      <c r="E2001" s="3">
        <f>HYPERLINK("https://sao.dolgi.msk.ru/account/1404228049/", 1404228049)</f>
        <v>1404228049</v>
      </c>
      <c r="F2001">
        <v>1312.65</v>
      </c>
    </row>
    <row r="2002" spans="1:6" hidden="1" x14ac:dyDescent="0.25">
      <c r="A2002" t="s">
        <v>419</v>
      </c>
      <c r="B2002" t="s">
        <v>393</v>
      </c>
      <c r="E2002" s="3">
        <f>HYPERLINK("https://sao.dolgi.msk.ru/account/1404228954/", 1404228954)</f>
        <v>1404228954</v>
      </c>
      <c r="F2002">
        <v>-2842.57</v>
      </c>
    </row>
    <row r="2003" spans="1:6" hidden="1" x14ac:dyDescent="0.25">
      <c r="A2003" t="s">
        <v>419</v>
      </c>
      <c r="B2003" t="s">
        <v>394</v>
      </c>
      <c r="E2003" s="3">
        <f>HYPERLINK("https://sao.dolgi.msk.ru/account/1404231571/", 1404231571)</f>
        <v>1404231571</v>
      </c>
      <c r="F2003">
        <v>-2782.49</v>
      </c>
    </row>
    <row r="2004" spans="1:6" x14ac:dyDescent="0.25">
      <c r="A2004" t="s">
        <v>419</v>
      </c>
      <c r="B2004" t="s">
        <v>395</v>
      </c>
      <c r="C2004" s="5" t="str">
        <f t="shared" ref="C2004:C2007" si="81">" кв. "&amp;B2004</f>
        <v xml:space="preserve"> кв. 394</v>
      </c>
      <c r="D2004" s="5" t="str">
        <f>CONCATENATE(A2004,C2004)</f>
        <v>Беломорская ул., дом 13 к.1 кв. 394</v>
      </c>
      <c r="E2004" s="3">
        <f>HYPERLINK("https://sao.dolgi.msk.ru/account/1404228962/", 1404228962)</f>
        <v>1404228962</v>
      </c>
      <c r="F2004">
        <v>1815.56</v>
      </c>
    </row>
    <row r="2005" spans="1:6" x14ac:dyDescent="0.25">
      <c r="A2005" t="s">
        <v>419</v>
      </c>
      <c r="B2005" t="s">
        <v>396</v>
      </c>
      <c r="C2005" s="5" t="str">
        <f t="shared" si="81"/>
        <v xml:space="preserve"> кв. 395</v>
      </c>
      <c r="D2005" s="5" t="str">
        <f>CONCATENATE(A2005,C2005)</f>
        <v>Беломорская ул., дом 13 к.1 кв. 395</v>
      </c>
      <c r="E2005" s="3">
        <f>HYPERLINK("https://sao.dolgi.msk.ru/account/1404228057/", 1404228057)</f>
        <v>1404228057</v>
      </c>
      <c r="F2005">
        <v>1888.31</v>
      </c>
    </row>
    <row r="2006" spans="1:6" x14ac:dyDescent="0.25">
      <c r="A2006" t="s">
        <v>419</v>
      </c>
      <c r="B2006" t="s">
        <v>397</v>
      </c>
      <c r="C2006" s="5" t="str">
        <f t="shared" si="81"/>
        <v xml:space="preserve"> кв. 396</v>
      </c>
      <c r="D2006" s="5" t="str">
        <f>CONCATENATE(A2006,C2006)</f>
        <v>Беломорская ул., дом 13 к.1 кв. 396</v>
      </c>
      <c r="E2006" s="3">
        <f>HYPERLINK("https://sao.dolgi.msk.ru/account/1404230261/", 1404230261)</f>
        <v>1404230261</v>
      </c>
      <c r="F2006">
        <v>1293.67</v>
      </c>
    </row>
    <row r="2007" spans="1:6" x14ac:dyDescent="0.25">
      <c r="A2007" t="s">
        <v>419</v>
      </c>
      <c r="B2007" t="s">
        <v>398</v>
      </c>
      <c r="C2007" s="5" t="str">
        <f t="shared" si="81"/>
        <v xml:space="preserve"> кв. 397</v>
      </c>
      <c r="D2007" s="5" t="str">
        <f>CONCATENATE(A2007,C2007)</f>
        <v>Беломорская ул., дом 13 к.1 кв. 397</v>
      </c>
      <c r="E2007" s="3">
        <f>HYPERLINK("https://sao.dolgi.msk.ru/account/1404230288/", 1404230288)</f>
        <v>1404230288</v>
      </c>
      <c r="F2007">
        <v>1957.9</v>
      </c>
    </row>
    <row r="2008" spans="1:6" hidden="1" x14ac:dyDescent="0.25">
      <c r="A2008" t="s">
        <v>419</v>
      </c>
      <c r="B2008" t="s">
        <v>399</v>
      </c>
      <c r="E2008" s="3">
        <f>HYPERLINK("https://sao.dolgi.msk.ru/account/1404234318/", 1404234318)</f>
        <v>1404234318</v>
      </c>
      <c r="F2008">
        <v>-2791.73</v>
      </c>
    </row>
    <row r="2009" spans="1:6" hidden="1" x14ac:dyDescent="0.25">
      <c r="A2009" t="s">
        <v>419</v>
      </c>
      <c r="B2009" t="s">
        <v>400</v>
      </c>
      <c r="E2009" s="3">
        <f>HYPERLINK("https://sao.dolgi.msk.ru/account/1404227564/", 1404227564)</f>
        <v>1404227564</v>
      </c>
      <c r="F2009">
        <v>-2657.69</v>
      </c>
    </row>
    <row r="2010" spans="1:6" hidden="1" x14ac:dyDescent="0.25">
      <c r="A2010" t="s">
        <v>419</v>
      </c>
      <c r="B2010" t="s">
        <v>401</v>
      </c>
      <c r="E2010" s="3">
        <f>HYPERLINK("https://sao.dolgi.msk.ru/account/1404230296/", 1404230296)</f>
        <v>1404230296</v>
      </c>
      <c r="F2010">
        <v>-1857.96</v>
      </c>
    </row>
    <row r="2011" spans="1:6" hidden="1" x14ac:dyDescent="0.25">
      <c r="A2011" t="s">
        <v>419</v>
      </c>
      <c r="B2011" t="s">
        <v>402</v>
      </c>
      <c r="E2011" s="3">
        <f>HYPERLINK("https://sao.dolgi.msk.ru/account/1404232128/", 1404232128)</f>
        <v>1404232128</v>
      </c>
      <c r="F2011">
        <v>0</v>
      </c>
    </row>
    <row r="2012" spans="1:6" hidden="1" x14ac:dyDescent="0.25">
      <c r="A2012" t="s">
        <v>419</v>
      </c>
      <c r="B2012" t="s">
        <v>403</v>
      </c>
      <c r="E2012" s="3">
        <f>HYPERLINK("https://sao.dolgi.msk.ru/account/1404233198/", 1404233198)</f>
        <v>1404233198</v>
      </c>
      <c r="F2012">
        <v>0</v>
      </c>
    </row>
    <row r="2013" spans="1:6" hidden="1" x14ac:dyDescent="0.25">
      <c r="A2013" t="s">
        <v>419</v>
      </c>
      <c r="B2013" t="s">
        <v>404</v>
      </c>
      <c r="E2013" s="3">
        <f>HYPERLINK("https://sao.dolgi.msk.ru/account/1404234326/", 1404234326)</f>
        <v>1404234326</v>
      </c>
      <c r="F2013">
        <v>-2800.98</v>
      </c>
    </row>
    <row r="2014" spans="1:6" hidden="1" x14ac:dyDescent="0.25">
      <c r="A2014" t="s">
        <v>419</v>
      </c>
      <c r="B2014" t="s">
        <v>405</v>
      </c>
      <c r="E2014" s="3">
        <f>HYPERLINK("https://sao.dolgi.msk.ru/account/1404229957/", 1404229957)</f>
        <v>1404229957</v>
      </c>
      <c r="F2014">
        <v>-1122.99</v>
      </c>
    </row>
    <row r="2015" spans="1:6" hidden="1" x14ac:dyDescent="0.25">
      <c r="A2015" t="s">
        <v>419</v>
      </c>
      <c r="B2015" t="s">
        <v>405</v>
      </c>
      <c r="E2015" s="3">
        <f>HYPERLINK("https://sao.dolgi.msk.ru/account/1404231512/", 1404231512)</f>
        <v>1404231512</v>
      </c>
      <c r="F2015">
        <v>-1333.47</v>
      </c>
    </row>
    <row r="2016" spans="1:6" hidden="1" x14ac:dyDescent="0.25">
      <c r="A2016" t="s">
        <v>419</v>
      </c>
      <c r="B2016" t="s">
        <v>406</v>
      </c>
      <c r="E2016" s="3">
        <f>HYPERLINK("https://sao.dolgi.msk.ru/account/1404226983/", 1404226983)</f>
        <v>1404226983</v>
      </c>
      <c r="F2016">
        <v>-1391.24</v>
      </c>
    </row>
    <row r="2017" spans="1:6" hidden="1" x14ac:dyDescent="0.25">
      <c r="A2017" t="s">
        <v>419</v>
      </c>
      <c r="B2017" t="s">
        <v>406</v>
      </c>
      <c r="E2017" s="3">
        <f>HYPERLINK("https://sao.dolgi.msk.ru/account/1404231547/", 1404231547)</f>
        <v>1404231547</v>
      </c>
      <c r="F2017">
        <v>-1391.24</v>
      </c>
    </row>
    <row r="2018" spans="1:6" hidden="1" x14ac:dyDescent="0.25">
      <c r="A2018" t="s">
        <v>419</v>
      </c>
      <c r="B2018" t="s">
        <v>407</v>
      </c>
      <c r="E2018" s="3">
        <f>HYPERLINK("https://sao.dolgi.msk.ru/account/1404228401/", 1404228401)</f>
        <v>1404228401</v>
      </c>
      <c r="F2018">
        <v>-1150.9000000000001</v>
      </c>
    </row>
    <row r="2019" spans="1:6" x14ac:dyDescent="0.25">
      <c r="A2019" t="s">
        <v>419</v>
      </c>
      <c r="B2019" t="s">
        <v>408</v>
      </c>
      <c r="C2019" s="5" t="str">
        <f t="shared" ref="C2019:C2021" si="82">" кв. "&amp;B2019</f>
        <v xml:space="preserve"> кв. 407</v>
      </c>
      <c r="D2019" s="5" t="str">
        <f>CONCATENATE(A2019,C2019)</f>
        <v>Беломорская ул., дом 13 к.1 кв. 407</v>
      </c>
      <c r="E2019" s="3">
        <f>HYPERLINK("https://sao.dolgi.msk.ru/account/1404231918/", 1404231918)</f>
        <v>1404231918</v>
      </c>
      <c r="F2019">
        <v>972.63</v>
      </c>
    </row>
    <row r="2020" spans="1:6" x14ac:dyDescent="0.25">
      <c r="A2020" t="s">
        <v>419</v>
      </c>
      <c r="B2020" t="s">
        <v>409</v>
      </c>
      <c r="C2020" s="5" t="str">
        <f t="shared" si="82"/>
        <v xml:space="preserve"> кв. 408</v>
      </c>
      <c r="D2020" s="5" t="str">
        <f>CONCATENATE(A2020,C2020)</f>
        <v>Беломорская ул., дом 13 к.1 кв. 408</v>
      </c>
      <c r="E2020" s="3">
        <f>HYPERLINK("https://sao.dolgi.msk.ru/account/1404228495/", 1404228495)</f>
        <v>1404228495</v>
      </c>
      <c r="F2020">
        <v>1926.27</v>
      </c>
    </row>
    <row r="2021" spans="1:6" x14ac:dyDescent="0.25">
      <c r="A2021" t="s">
        <v>419</v>
      </c>
      <c r="B2021" t="s">
        <v>410</v>
      </c>
      <c r="C2021" s="5" t="str">
        <f t="shared" si="82"/>
        <v xml:space="preserve"> кв. 409</v>
      </c>
      <c r="D2021" s="5" t="str">
        <f>CONCATENATE(A2021,C2021)</f>
        <v>Беломорская ул., дом 13 к.1 кв. 409</v>
      </c>
      <c r="E2021" s="3">
        <f>HYPERLINK("https://sao.dolgi.msk.ru/account/1404230587/", 1404230587)</f>
        <v>1404230587</v>
      </c>
      <c r="F2021">
        <v>1840.87</v>
      </c>
    </row>
    <row r="2022" spans="1:6" hidden="1" x14ac:dyDescent="0.25">
      <c r="A2022" t="s">
        <v>419</v>
      </c>
      <c r="B2022" t="s">
        <v>411</v>
      </c>
      <c r="E2022" s="3">
        <f>HYPERLINK("https://sao.dolgi.msk.ru/account/1404229711/", 1404229711)</f>
        <v>1404229711</v>
      </c>
      <c r="F2022">
        <v>0</v>
      </c>
    </row>
    <row r="2023" spans="1:6" hidden="1" x14ac:dyDescent="0.25">
      <c r="A2023" t="s">
        <v>419</v>
      </c>
      <c r="B2023" t="s">
        <v>429</v>
      </c>
      <c r="E2023" s="3">
        <f>HYPERLINK("https://sao.dolgi.msk.ru/account/1404232005/", 1404232005)</f>
        <v>1404232005</v>
      </c>
      <c r="F2023">
        <v>-1024.1500000000001</v>
      </c>
    </row>
    <row r="2024" spans="1:6" x14ac:dyDescent="0.25">
      <c r="A2024" t="s">
        <v>419</v>
      </c>
      <c r="B2024" t="s">
        <v>430</v>
      </c>
      <c r="C2024" s="5" t="str">
        <f t="shared" ref="C2024:C2025" si="83">" кв. "&amp;B2024</f>
        <v xml:space="preserve"> кв. 412</v>
      </c>
      <c r="D2024" s="5" t="str">
        <f>CONCATENATE(A2024,C2024)</f>
        <v>Беломорская ул., дом 13 к.1 кв. 412</v>
      </c>
      <c r="E2024" s="3">
        <f>HYPERLINK("https://sao.dolgi.msk.ru/account/1404229578/", 1404229578)</f>
        <v>1404229578</v>
      </c>
      <c r="F2024">
        <v>972.63</v>
      </c>
    </row>
    <row r="2025" spans="1:6" x14ac:dyDescent="0.25">
      <c r="A2025" t="s">
        <v>419</v>
      </c>
      <c r="B2025" t="s">
        <v>431</v>
      </c>
      <c r="C2025" s="5" t="str">
        <f t="shared" si="83"/>
        <v xml:space="preserve"> кв. 413</v>
      </c>
      <c r="D2025" s="5" t="str">
        <f>CONCATENATE(A2025,C2025)</f>
        <v>Беломорская ул., дом 13 к.1 кв. 413</v>
      </c>
      <c r="E2025" s="3">
        <f>HYPERLINK("https://sao.dolgi.msk.ru/account/1404228938/", 1404228938)</f>
        <v>1404228938</v>
      </c>
      <c r="F2025">
        <v>1926.27</v>
      </c>
    </row>
    <row r="2026" spans="1:6" hidden="1" x14ac:dyDescent="0.25">
      <c r="A2026" t="s">
        <v>419</v>
      </c>
      <c r="B2026" t="s">
        <v>432</v>
      </c>
      <c r="E2026" s="3">
        <f>HYPERLINK("https://sao.dolgi.msk.ru/account/1404232427/", 1404232427)</f>
        <v>1404232427</v>
      </c>
      <c r="F2026">
        <v>-2671.55</v>
      </c>
    </row>
    <row r="2027" spans="1:6" hidden="1" x14ac:dyDescent="0.25">
      <c r="A2027" t="s">
        <v>419</v>
      </c>
      <c r="B2027" t="s">
        <v>433</v>
      </c>
      <c r="E2027" s="3">
        <f>HYPERLINK("https://sao.dolgi.msk.ru/account/1404232873/", 1404232873)</f>
        <v>1404232873</v>
      </c>
      <c r="F2027">
        <v>-2759.37</v>
      </c>
    </row>
    <row r="2028" spans="1:6" hidden="1" x14ac:dyDescent="0.25">
      <c r="A2028" t="s">
        <v>419</v>
      </c>
      <c r="B2028" t="s">
        <v>434</v>
      </c>
      <c r="E2028" s="3">
        <f>HYPERLINK("https://sao.dolgi.msk.ru/account/1404231416/", 1404231416)</f>
        <v>1404231416</v>
      </c>
      <c r="F2028">
        <v>-1927.41</v>
      </c>
    </row>
    <row r="2029" spans="1:6" hidden="1" x14ac:dyDescent="0.25">
      <c r="A2029" t="s">
        <v>419</v>
      </c>
      <c r="B2029" t="s">
        <v>435</v>
      </c>
      <c r="E2029" s="3">
        <f>HYPERLINK("https://sao.dolgi.msk.ru/account/1404227628/", 1404227628)</f>
        <v>1404227628</v>
      </c>
      <c r="F2029">
        <v>-2861.06</v>
      </c>
    </row>
    <row r="2030" spans="1:6" hidden="1" x14ac:dyDescent="0.25">
      <c r="A2030" t="s">
        <v>419</v>
      </c>
      <c r="B2030" t="s">
        <v>436</v>
      </c>
      <c r="E2030" s="3">
        <f>HYPERLINK("https://sao.dolgi.msk.ru/account/1404227601/", 1404227601)</f>
        <v>1404227601</v>
      </c>
      <c r="F2030">
        <v>-2819.47</v>
      </c>
    </row>
    <row r="2031" spans="1:6" hidden="1" x14ac:dyDescent="0.25">
      <c r="A2031" t="s">
        <v>419</v>
      </c>
      <c r="B2031" t="s">
        <v>437</v>
      </c>
      <c r="E2031" s="3">
        <f>HYPERLINK("https://sao.dolgi.msk.ru/account/1404230659/", 1404230659)</f>
        <v>1404230659</v>
      </c>
      <c r="F2031">
        <v>0</v>
      </c>
    </row>
    <row r="2032" spans="1:6" x14ac:dyDescent="0.25">
      <c r="A2032" t="s">
        <v>419</v>
      </c>
      <c r="B2032" t="s">
        <v>438</v>
      </c>
      <c r="C2032" s="5" t="str">
        <f>" кв. "&amp;B2032</f>
        <v xml:space="preserve"> кв. 420</v>
      </c>
      <c r="D2032" s="5" t="str">
        <f>CONCATENATE(A2032,C2032)</f>
        <v>Беломорская ул., дом 13 к.1 кв. 420</v>
      </c>
      <c r="E2032" s="3">
        <f>HYPERLINK("https://sao.dolgi.msk.ru/account/1404232486/", 1404232486)</f>
        <v>1404232486</v>
      </c>
      <c r="F2032">
        <v>1888.31</v>
      </c>
    </row>
    <row r="2033" spans="1:6" hidden="1" x14ac:dyDescent="0.25">
      <c r="A2033" t="s">
        <v>419</v>
      </c>
      <c r="B2033" t="s">
        <v>439</v>
      </c>
      <c r="E2033" s="3">
        <f>HYPERLINK("https://sao.dolgi.msk.ru/account/1404231029/", 1404231029)</f>
        <v>1404231029</v>
      </c>
      <c r="F2033">
        <v>-1927.41</v>
      </c>
    </row>
    <row r="2034" spans="1:6" hidden="1" x14ac:dyDescent="0.25">
      <c r="A2034" t="s">
        <v>419</v>
      </c>
      <c r="B2034" t="s">
        <v>440</v>
      </c>
      <c r="E2034" s="3">
        <f>HYPERLINK("https://sao.dolgi.msk.ru/account/1404232689/", 1404232689)</f>
        <v>1404232689</v>
      </c>
      <c r="F2034">
        <v>0</v>
      </c>
    </row>
    <row r="2035" spans="1:6" hidden="1" x14ac:dyDescent="0.25">
      <c r="A2035" t="s">
        <v>419</v>
      </c>
      <c r="B2035" t="s">
        <v>441</v>
      </c>
      <c r="E2035" s="3">
        <f>HYPERLINK("https://sao.dolgi.msk.ru/account/1404232865/", 1404232865)</f>
        <v>1404232865</v>
      </c>
      <c r="F2035">
        <v>-2824.09</v>
      </c>
    </row>
    <row r="2036" spans="1:6" hidden="1" x14ac:dyDescent="0.25">
      <c r="A2036" t="s">
        <v>419</v>
      </c>
      <c r="B2036" t="s">
        <v>442</v>
      </c>
      <c r="E2036" s="3">
        <f>HYPERLINK("https://sao.dolgi.msk.ru/account/1404229367/", 1404229367)</f>
        <v>1404229367</v>
      </c>
      <c r="F2036">
        <v>-1335.76</v>
      </c>
    </row>
    <row r="2037" spans="1:6" hidden="1" x14ac:dyDescent="0.25">
      <c r="A2037" t="s">
        <v>419</v>
      </c>
      <c r="B2037" t="s">
        <v>443</v>
      </c>
      <c r="E2037" s="3">
        <f>HYPERLINK("https://sao.dolgi.msk.ru/account/1404228794/", 1404228794)</f>
        <v>1404228794</v>
      </c>
      <c r="F2037">
        <v>0</v>
      </c>
    </row>
    <row r="2038" spans="1:6" hidden="1" x14ac:dyDescent="0.25">
      <c r="A2038" t="s">
        <v>419</v>
      </c>
      <c r="B2038" t="s">
        <v>444</v>
      </c>
      <c r="E2038" s="3">
        <f>HYPERLINK("https://sao.dolgi.msk.ru/account/1404232945/", 1404232945)</f>
        <v>1404232945</v>
      </c>
      <c r="F2038">
        <v>-1619.31</v>
      </c>
    </row>
    <row r="2039" spans="1:6" hidden="1" x14ac:dyDescent="0.25">
      <c r="A2039" t="s">
        <v>419</v>
      </c>
      <c r="B2039" t="s">
        <v>445</v>
      </c>
      <c r="E2039" s="3">
        <f>HYPERLINK("https://sao.dolgi.msk.ru/account/1404233585/", 1404233585)</f>
        <v>1404233585</v>
      </c>
      <c r="F2039">
        <v>-2851.81</v>
      </c>
    </row>
    <row r="2040" spans="1:6" hidden="1" x14ac:dyDescent="0.25">
      <c r="A2040" t="s">
        <v>419</v>
      </c>
      <c r="B2040" t="s">
        <v>446</v>
      </c>
      <c r="E2040" s="3">
        <f>HYPERLINK("https://sao.dolgi.msk.ru/account/1404231424/", 1404231424)</f>
        <v>1404231424</v>
      </c>
      <c r="F2040">
        <v>0</v>
      </c>
    </row>
    <row r="2041" spans="1:6" hidden="1" x14ac:dyDescent="0.25">
      <c r="A2041" t="s">
        <v>419</v>
      </c>
      <c r="B2041" t="s">
        <v>447</v>
      </c>
      <c r="E2041" s="3">
        <f>HYPERLINK("https://sao.dolgi.msk.ru/account/1404229682/", 1404229682)</f>
        <v>1404229682</v>
      </c>
      <c r="F2041">
        <v>0</v>
      </c>
    </row>
    <row r="2042" spans="1:6" hidden="1" x14ac:dyDescent="0.25">
      <c r="A2042" t="s">
        <v>419</v>
      </c>
      <c r="B2042" t="s">
        <v>448</v>
      </c>
      <c r="E2042" s="3">
        <f>HYPERLINK("https://sao.dolgi.msk.ru/account/1404233171/", 1404233171)</f>
        <v>1404233171</v>
      </c>
      <c r="F2042">
        <v>0</v>
      </c>
    </row>
    <row r="2043" spans="1:6" hidden="1" x14ac:dyDescent="0.25">
      <c r="A2043" t="s">
        <v>419</v>
      </c>
      <c r="B2043" t="s">
        <v>449</v>
      </c>
      <c r="E2043" s="3">
        <f>HYPERLINK("https://sao.dolgi.msk.ru/account/1404233905/", 1404233905)</f>
        <v>1404233905</v>
      </c>
      <c r="F2043">
        <v>-1927.41</v>
      </c>
    </row>
    <row r="2044" spans="1:6" hidden="1" x14ac:dyDescent="0.25">
      <c r="A2044" t="s">
        <v>419</v>
      </c>
      <c r="B2044" t="s">
        <v>450</v>
      </c>
      <c r="E2044" s="3">
        <f>HYPERLINK("https://sao.dolgi.msk.ru/account/1404230085/", 1404230085)</f>
        <v>1404230085</v>
      </c>
      <c r="F2044">
        <v>0</v>
      </c>
    </row>
    <row r="2045" spans="1:6" hidden="1" x14ac:dyDescent="0.25">
      <c r="A2045" t="s">
        <v>419</v>
      </c>
      <c r="B2045" t="s">
        <v>451</v>
      </c>
      <c r="E2045" s="3">
        <f>HYPERLINK("https://sao.dolgi.msk.ru/account/1404228567/", 1404228567)</f>
        <v>1404228567</v>
      </c>
      <c r="F2045">
        <v>-2796.36</v>
      </c>
    </row>
    <row r="2046" spans="1:6" hidden="1" x14ac:dyDescent="0.25">
      <c r="A2046" t="s">
        <v>419</v>
      </c>
      <c r="B2046" t="s">
        <v>452</v>
      </c>
      <c r="E2046" s="3">
        <f>HYPERLINK("https://sao.dolgi.msk.ru/account/1404233235/", 1404233235)</f>
        <v>1404233235</v>
      </c>
      <c r="F2046">
        <v>-2676.18</v>
      </c>
    </row>
    <row r="2047" spans="1:6" hidden="1" x14ac:dyDescent="0.25">
      <c r="A2047" t="s">
        <v>419</v>
      </c>
      <c r="B2047" t="s">
        <v>453</v>
      </c>
      <c r="E2047" s="3">
        <f>HYPERLINK("https://sao.dolgi.msk.ru/account/1404232961/", 1404232961)</f>
        <v>1404232961</v>
      </c>
      <c r="F2047">
        <v>-875.44</v>
      </c>
    </row>
    <row r="2048" spans="1:6" hidden="1" x14ac:dyDescent="0.25">
      <c r="A2048" t="s">
        <v>419</v>
      </c>
      <c r="B2048" t="s">
        <v>454</v>
      </c>
      <c r="E2048" s="3">
        <f>HYPERLINK("https://sao.dolgi.msk.ru/account/1404234289/", 1404234289)</f>
        <v>1404234289</v>
      </c>
      <c r="F2048">
        <v>0</v>
      </c>
    </row>
    <row r="2049" spans="1:6" x14ac:dyDescent="0.25">
      <c r="A2049" t="s">
        <v>419</v>
      </c>
      <c r="B2049" t="s">
        <v>455</v>
      </c>
      <c r="C2049" s="5" t="str">
        <f t="shared" ref="C2049:C2051" si="84">" кв. "&amp;B2049</f>
        <v xml:space="preserve"> кв. 437</v>
      </c>
      <c r="D2049" s="5" t="str">
        <f>CONCATENATE(A2049,C2049)</f>
        <v>Беломорская ул., дом 13 к.1 кв. 437</v>
      </c>
      <c r="E2049" s="3">
        <f>HYPERLINK("https://sao.dolgi.msk.ru/account/1404233139/", 1404233139)</f>
        <v>1404233139</v>
      </c>
      <c r="F2049">
        <v>1951.57</v>
      </c>
    </row>
    <row r="2050" spans="1:6" x14ac:dyDescent="0.25">
      <c r="A2050" t="s">
        <v>419</v>
      </c>
      <c r="B2050" t="s">
        <v>456</v>
      </c>
      <c r="C2050" s="5" t="str">
        <f t="shared" si="84"/>
        <v xml:space="preserve"> кв. 438</v>
      </c>
      <c r="D2050" s="5" t="str">
        <f>CONCATENATE(A2050,C2050)</f>
        <v>Беломорская ул., дом 13 к.1 кв. 438</v>
      </c>
      <c r="E2050" s="3">
        <f>HYPERLINK("https://sao.dolgi.msk.ru/account/1404231598/", 1404231598)</f>
        <v>1404231598</v>
      </c>
      <c r="F2050">
        <v>961.55</v>
      </c>
    </row>
    <row r="2051" spans="1:6" x14ac:dyDescent="0.25">
      <c r="A2051" t="s">
        <v>419</v>
      </c>
      <c r="B2051" t="s">
        <v>456</v>
      </c>
      <c r="C2051" s="5" t="str">
        <f t="shared" si="84"/>
        <v xml:space="preserve"> кв. 438</v>
      </c>
      <c r="D2051" s="5" t="str">
        <f>CONCATENATE(A2051,C2051)</f>
        <v>Беломорская ул., дом 13 к.1 кв. 438</v>
      </c>
      <c r="E2051" s="3">
        <f>HYPERLINK("https://sao.dolgi.msk.ru/account/1404234406/", 1404234406)</f>
        <v>1404234406</v>
      </c>
      <c r="F2051">
        <v>480.77</v>
      </c>
    </row>
    <row r="2052" spans="1:6" hidden="1" x14ac:dyDescent="0.25">
      <c r="A2052" t="s">
        <v>419</v>
      </c>
      <c r="B2052" t="s">
        <v>457</v>
      </c>
      <c r="E2052" s="3">
        <f>HYPERLINK("https://sao.dolgi.msk.ru/account/1404227978/", 1404227978)</f>
        <v>1404227978</v>
      </c>
      <c r="F2052">
        <v>-2671.55</v>
      </c>
    </row>
    <row r="2053" spans="1:6" hidden="1" x14ac:dyDescent="0.25">
      <c r="A2053" t="s">
        <v>419</v>
      </c>
      <c r="B2053" t="s">
        <v>458</v>
      </c>
      <c r="E2053" s="3">
        <f>HYPERLINK("https://sao.dolgi.msk.ru/account/1404231125/", 1404231125)</f>
        <v>1404231125</v>
      </c>
      <c r="F2053">
        <v>-1391.25</v>
      </c>
    </row>
    <row r="2054" spans="1:6" hidden="1" x14ac:dyDescent="0.25">
      <c r="A2054" t="s">
        <v>419</v>
      </c>
      <c r="B2054" t="s">
        <v>459</v>
      </c>
      <c r="E2054" s="3">
        <f>HYPERLINK("https://sao.dolgi.msk.ru/account/1404230392/", 1404230392)</f>
        <v>1404230392</v>
      </c>
      <c r="F2054">
        <v>-963.7</v>
      </c>
    </row>
    <row r="2055" spans="1:6" hidden="1" x14ac:dyDescent="0.25">
      <c r="A2055" t="s">
        <v>419</v>
      </c>
      <c r="B2055" t="s">
        <v>460</v>
      </c>
      <c r="E2055" s="3">
        <f>HYPERLINK("https://sao.dolgi.msk.ru/account/1404227943/", 1404227943)</f>
        <v>1404227943</v>
      </c>
      <c r="F2055">
        <v>-2842.57</v>
      </c>
    </row>
    <row r="2056" spans="1:6" hidden="1" x14ac:dyDescent="0.25">
      <c r="A2056" t="s">
        <v>419</v>
      </c>
      <c r="B2056" t="s">
        <v>461</v>
      </c>
      <c r="E2056" s="3">
        <f>HYPERLINK("https://sao.dolgi.msk.ru/account/1404228807/", 1404228807)</f>
        <v>1404228807</v>
      </c>
      <c r="F2056">
        <v>-1412.05</v>
      </c>
    </row>
    <row r="2057" spans="1:6" hidden="1" x14ac:dyDescent="0.25">
      <c r="A2057" t="s">
        <v>419</v>
      </c>
      <c r="B2057" t="s">
        <v>462</v>
      </c>
      <c r="E2057" s="3">
        <f>HYPERLINK("https://sao.dolgi.msk.ru/account/1404231467/", 1404231467)</f>
        <v>1404231467</v>
      </c>
      <c r="F2057">
        <v>-1899.67</v>
      </c>
    </row>
    <row r="2058" spans="1:6" hidden="1" x14ac:dyDescent="0.25">
      <c r="A2058" t="s">
        <v>419</v>
      </c>
      <c r="B2058" t="s">
        <v>463</v>
      </c>
      <c r="E2058" s="3">
        <f>HYPERLINK("https://sao.dolgi.msk.ru/account/1404233286/", 1404233286)</f>
        <v>1404233286</v>
      </c>
      <c r="F2058">
        <v>0</v>
      </c>
    </row>
    <row r="2059" spans="1:6" hidden="1" x14ac:dyDescent="0.25">
      <c r="A2059" t="s">
        <v>419</v>
      </c>
      <c r="B2059" t="s">
        <v>464</v>
      </c>
      <c r="E2059" s="3">
        <f>HYPERLINK("https://sao.dolgi.msk.ru/account/1404228655/", 1404228655)</f>
        <v>1404228655</v>
      </c>
      <c r="F2059">
        <v>0</v>
      </c>
    </row>
    <row r="2060" spans="1:6" hidden="1" x14ac:dyDescent="0.25">
      <c r="A2060" t="s">
        <v>419</v>
      </c>
      <c r="B2060" t="s">
        <v>465</v>
      </c>
      <c r="E2060" s="3">
        <f>HYPERLINK("https://sao.dolgi.msk.ru/account/1404231037/", 1404231037)</f>
        <v>1404231037</v>
      </c>
      <c r="F2060">
        <v>-1551.56</v>
      </c>
    </row>
    <row r="2061" spans="1:6" x14ac:dyDescent="0.25">
      <c r="A2061" t="s">
        <v>419</v>
      </c>
      <c r="B2061" t="s">
        <v>466</v>
      </c>
      <c r="C2061" s="5" t="str">
        <f>" кв. "&amp;B2061</f>
        <v xml:space="preserve"> кв. 448</v>
      </c>
      <c r="D2061" s="5" t="str">
        <f>CONCATENATE(A2061,C2061)</f>
        <v>Беломорская ул., дом 13 к.1 кв. 448</v>
      </c>
      <c r="E2061" s="3">
        <f>HYPERLINK("https://sao.dolgi.msk.ru/account/1404234094/", 1404234094)</f>
        <v>1404234094</v>
      </c>
      <c r="F2061">
        <v>1929.43</v>
      </c>
    </row>
    <row r="2062" spans="1:6" hidden="1" x14ac:dyDescent="0.25">
      <c r="A2062" t="s">
        <v>419</v>
      </c>
      <c r="B2062" t="s">
        <v>467</v>
      </c>
      <c r="E2062" s="3">
        <f>HYPERLINK("https://sao.dolgi.msk.ru/account/1404232363/", 1404232363)</f>
        <v>1404232363</v>
      </c>
      <c r="F2062">
        <v>0</v>
      </c>
    </row>
    <row r="2063" spans="1:6" hidden="1" x14ac:dyDescent="0.25">
      <c r="A2063" t="s">
        <v>419</v>
      </c>
      <c r="B2063" t="s">
        <v>468</v>
      </c>
      <c r="E2063" s="3">
        <f>HYPERLINK("https://sao.dolgi.msk.ru/account/1404233606/", 1404233606)</f>
        <v>1404233606</v>
      </c>
      <c r="F2063">
        <v>-2335.52</v>
      </c>
    </row>
    <row r="2064" spans="1:6" hidden="1" x14ac:dyDescent="0.25">
      <c r="A2064" t="s">
        <v>419</v>
      </c>
      <c r="B2064" t="s">
        <v>469</v>
      </c>
      <c r="E2064" s="3">
        <f>HYPERLINK("https://sao.dolgi.msk.ru/account/1404229877/", 1404229877)</f>
        <v>1404229877</v>
      </c>
      <c r="F2064">
        <v>-1932.03</v>
      </c>
    </row>
    <row r="2065" spans="1:6" hidden="1" x14ac:dyDescent="0.25">
      <c r="A2065" t="s">
        <v>419</v>
      </c>
      <c r="B2065" t="s">
        <v>470</v>
      </c>
      <c r="E2065" s="3">
        <f>HYPERLINK("https://sao.dolgi.msk.ru/account/1404232435/", 1404232435)</f>
        <v>1404232435</v>
      </c>
      <c r="F2065">
        <v>-2103.04</v>
      </c>
    </row>
    <row r="2066" spans="1:6" x14ac:dyDescent="0.25">
      <c r="A2066" t="s">
        <v>419</v>
      </c>
      <c r="B2066" t="s">
        <v>471</v>
      </c>
      <c r="C2066" s="5" t="str">
        <f>" кв. "&amp;B2066</f>
        <v xml:space="preserve"> кв. 453</v>
      </c>
      <c r="D2066" s="5" t="str">
        <f>CONCATENATE(A2066,C2066)</f>
        <v>Беломорская ул., дом 13 к.1 кв. 453</v>
      </c>
      <c r="E2066" s="3">
        <f>HYPERLINK("https://sao.dolgi.msk.ru/account/1404227281/", 1404227281)</f>
        <v>1404227281</v>
      </c>
      <c r="F2066">
        <v>1923.1</v>
      </c>
    </row>
    <row r="2067" spans="1:6" hidden="1" x14ac:dyDescent="0.25">
      <c r="A2067" t="s">
        <v>419</v>
      </c>
      <c r="B2067" t="s">
        <v>472</v>
      </c>
      <c r="E2067" s="3">
        <f>HYPERLINK("https://sao.dolgi.msk.ru/account/1404226975/", 1404226975)</f>
        <v>1404226975</v>
      </c>
      <c r="F2067">
        <v>0</v>
      </c>
    </row>
    <row r="2068" spans="1:6" x14ac:dyDescent="0.25">
      <c r="A2068" t="s">
        <v>419</v>
      </c>
      <c r="B2068" t="s">
        <v>473</v>
      </c>
      <c r="C2068" s="5" t="str">
        <f>" кв. "&amp;B2068</f>
        <v xml:space="preserve"> кв. 455</v>
      </c>
      <c r="D2068" s="5" t="str">
        <f>CONCATENATE(A2068,C2068)</f>
        <v>Беломорская ул., дом 13 к.1 кв. 455</v>
      </c>
      <c r="E2068" s="3">
        <f>HYPERLINK("https://sao.dolgi.msk.ru/account/1404228313/", 1404228313)</f>
        <v>1404228313</v>
      </c>
      <c r="F2068">
        <v>1894.64</v>
      </c>
    </row>
    <row r="2069" spans="1:6" hidden="1" x14ac:dyDescent="0.25">
      <c r="A2069" t="s">
        <v>419</v>
      </c>
      <c r="B2069" t="s">
        <v>474</v>
      </c>
      <c r="E2069" s="3">
        <f>HYPERLINK("https://sao.dolgi.msk.ru/account/1404227345/", 1404227345)</f>
        <v>1404227345</v>
      </c>
      <c r="F2069">
        <v>-1936.64</v>
      </c>
    </row>
    <row r="2070" spans="1:6" hidden="1" x14ac:dyDescent="0.25">
      <c r="A2070" t="s">
        <v>419</v>
      </c>
      <c r="B2070" t="s">
        <v>475</v>
      </c>
      <c r="E2070" s="3">
        <f>HYPERLINK("https://sao.dolgi.msk.ru/account/1404233884/", 1404233884)</f>
        <v>1404233884</v>
      </c>
      <c r="F2070">
        <v>0</v>
      </c>
    </row>
    <row r="2071" spans="1:6" x14ac:dyDescent="0.25">
      <c r="A2071" t="s">
        <v>419</v>
      </c>
      <c r="B2071" t="s">
        <v>476</v>
      </c>
      <c r="C2071" s="5" t="str">
        <f>" кв. "&amp;B2071</f>
        <v xml:space="preserve"> кв. 458</v>
      </c>
      <c r="D2071" s="5" t="str">
        <f>CONCATENATE(A2071,C2071)</f>
        <v>Беломорская ул., дом 13 к.1 кв. 458</v>
      </c>
      <c r="E2071" s="3">
        <f>HYPERLINK("https://sao.dolgi.msk.ru/account/1404230333/", 1404230333)</f>
        <v>1404230333</v>
      </c>
      <c r="F2071">
        <v>964.71</v>
      </c>
    </row>
    <row r="2072" spans="1:6" hidden="1" x14ac:dyDescent="0.25">
      <c r="A2072" t="s">
        <v>419</v>
      </c>
      <c r="B2072" t="s">
        <v>477</v>
      </c>
      <c r="E2072" s="3">
        <f>HYPERLINK("https://sao.dolgi.msk.ru/account/1404230237/", 1404230237)</f>
        <v>1404230237</v>
      </c>
      <c r="F2072">
        <v>-2676.18</v>
      </c>
    </row>
    <row r="2073" spans="1:6" x14ac:dyDescent="0.25">
      <c r="A2073" t="s">
        <v>419</v>
      </c>
      <c r="B2073" t="s">
        <v>478</v>
      </c>
      <c r="C2073" s="5" t="str">
        <f>" кв. "&amp;B2073</f>
        <v xml:space="preserve"> кв. 460</v>
      </c>
      <c r="D2073" s="5" t="str">
        <f>CONCATENATE(A2073,C2073)</f>
        <v>Беломорская ул., дом 13 к.1 кв. 460</v>
      </c>
      <c r="E2073" s="3">
        <f>HYPERLINK("https://sao.dolgi.msk.ru/account/1404233892/", 1404233892)</f>
        <v>1404233892</v>
      </c>
      <c r="F2073">
        <v>1894.64</v>
      </c>
    </row>
    <row r="2074" spans="1:6" hidden="1" x14ac:dyDescent="0.25">
      <c r="A2074" t="s">
        <v>419</v>
      </c>
      <c r="B2074" t="s">
        <v>479</v>
      </c>
      <c r="E2074" s="3">
        <f>HYPERLINK("https://sao.dolgi.msk.ru/account/1404228858/", 1404228858)</f>
        <v>1404228858</v>
      </c>
      <c r="F2074">
        <v>-1932.03</v>
      </c>
    </row>
    <row r="2075" spans="1:6" hidden="1" x14ac:dyDescent="0.25">
      <c r="A2075" t="s">
        <v>419</v>
      </c>
      <c r="B2075" t="s">
        <v>480</v>
      </c>
      <c r="E2075" s="3">
        <f>HYPERLINK("https://sao.dolgi.msk.ru/account/1404228647/", 1404228647)</f>
        <v>1404228647</v>
      </c>
      <c r="F2075">
        <v>-2861.06</v>
      </c>
    </row>
    <row r="2076" spans="1:6" hidden="1" x14ac:dyDescent="0.25">
      <c r="A2076" t="s">
        <v>419</v>
      </c>
      <c r="B2076" t="s">
        <v>481</v>
      </c>
      <c r="E2076" s="3">
        <f>HYPERLINK("https://sao.dolgi.msk.ru/account/1404229447/", 1404229447)</f>
        <v>1404229447</v>
      </c>
      <c r="F2076">
        <v>0</v>
      </c>
    </row>
    <row r="2077" spans="1:6" hidden="1" x14ac:dyDescent="0.25">
      <c r="A2077" t="s">
        <v>419</v>
      </c>
      <c r="B2077" t="s">
        <v>482</v>
      </c>
      <c r="E2077" s="3">
        <f>HYPERLINK("https://sao.dolgi.msk.ru/account/1404234203/", 1404234203)</f>
        <v>1404234203</v>
      </c>
      <c r="F2077">
        <v>-2676.18</v>
      </c>
    </row>
    <row r="2078" spans="1:6" hidden="1" x14ac:dyDescent="0.25">
      <c r="A2078" t="s">
        <v>419</v>
      </c>
      <c r="B2078" t="s">
        <v>483</v>
      </c>
      <c r="E2078" s="3">
        <f>HYPERLINK("https://sao.dolgi.msk.ru/account/1404229703/", 1404229703)</f>
        <v>1404229703</v>
      </c>
      <c r="F2078">
        <v>0</v>
      </c>
    </row>
    <row r="2079" spans="1:6" hidden="1" x14ac:dyDescent="0.25">
      <c r="A2079" t="s">
        <v>419</v>
      </c>
      <c r="B2079" t="s">
        <v>484</v>
      </c>
      <c r="E2079" s="3">
        <f>HYPERLINK("https://sao.dolgi.msk.ru/account/1404233104/", 1404233104)</f>
        <v>1404233104</v>
      </c>
      <c r="F2079">
        <v>0</v>
      </c>
    </row>
    <row r="2080" spans="1:6" hidden="1" x14ac:dyDescent="0.25">
      <c r="A2080" t="s">
        <v>419</v>
      </c>
      <c r="B2080" t="s">
        <v>485</v>
      </c>
      <c r="E2080" s="3">
        <f>HYPERLINK("https://sao.dolgi.msk.ru/account/1404228399/", 1404228399)</f>
        <v>1404228399</v>
      </c>
      <c r="F2080">
        <v>0</v>
      </c>
    </row>
    <row r="2081" spans="1:6" x14ac:dyDescent="0.25">
      <c r="A2081" t="s">
        <v>419</v>
      </c>
      <c r="B2081" t="s">
        <v>486</v>
      </c>
      <c r="C2081" s="5" t="str">
        <f>" кв. "&amp;B2081</f>
        <v xml:space="preserve"> кв. 468</v>
      </c>
      <c r="D2081" s="5" t="str">
        <f>CONCATENATE(A2081,C2081)</f>
        <v>Беломорская ул., дом 13 к.1 кв. 468</v>
      </c>
      <c r="E2081" s="3">
        <f>HYPERLINK("https://sao.dolgi.msk.ru/account/1404228831/", 1404228831)</f>
        <v>1404228831</v>
      </c>
      <c r="F2081">
        <v>1926.27</v>
      </c>
    </row>
    <row r="2082" spans="1:6" hidden="1" x14ac:dyDescent="0.25">
      <c r="A2082" t="s">
        <v>419</v>
      </c>
      <c r="B2082" t="s">
        <v>487</v>
      </c>
      <c r="E2082" s="3">
        <f>HYPERLINK("https://sao.dolgi.msk.ru/account/1404232259/", 1404232259)</f>
        <v>1404232259</v>
      </c>
      <c r="F2082">
        <v>-2680.8</v>
      </c>
    </row>
    <row r="2083" spans="1:6" x14ac:dyDescent="0.25">
      <c r="A2083" t="s">
        <v>419</v>
      </c>
      <c r="B2083" t="s">
        <v>488</v>
      </c>
      <c r="C2083" s="5" t="str">
        <f>" кв. "&amp;B2083</f>
        <v xml:space="preserve"> кв. 470</v>
      </c>
      <c r="D2083" s="5" t="str">
        <f>CONCATENATE(A2083,C2083)</f>
        <v>Беломорская ул., дом 13 к.1 кв. 470</v>
      </c>
      <c r="E2083" s="3">
        <f>HYPERLINK("https://sao.dolgi.msk.ru/account/1404233622/", 1404233622)</f>
        <v>1404233622</v>
      </c>
      <c r="F2083">
        <v>944.15</v>
      </c>
    </row>
    <row r="2084" spans="1:6" hidden="1" x14ac:dyDescent="0.25">
      <c r="A2084" t="s">
        <v>419</v>
      </c>
      <c r="B2084" t="s">
        <v>489</v>
      </c>
      <c r="E2084" s="3">
        <f>HYPERLINK("https://sao.dolgi.msk.ru/account/1404229842/", 1404229842)</f>
        <v>1404229842</v>
      </c>
      <c r="F2084">
        <v>-1918.17</v>
      </c>
    </row>
    <row r="2085" spans="1:6" x14ac:dyDescent="0.25">
      <c r="A2085" t="s">
        <v>419</v>
      </c>
      <c r="B2085" t="s">
        <v>490</v>
      </c>
      <c r="C2085" s="5" t="str">
        <f>" кв. "&amp;B2085</f>
        <v xml:space="preserve"> кв. 472</v>
      </c>
      <c r="D2085" s="5" t="str">
        <f>CONCATENATE(A2085,C2085)</f>
        <v>Беломорская ул., дом 13 к.1 кв. 472</v>
      </c>
      <c r="E2085" s="3">
        <f>HYPERLINK("https://sao.dolgi.msk.ru/account/1404230368/", 1404230368)</f>
        <v>1404230368</v>
      </c>
      <c r="F2085">
        <v>1948.41</v>
      </c>
    </row>
    <row r="2086" spans="1:6" hidden="1" x14ac:dyDescent="0.25">
      <c r="A2086" t="s">
        <v>419</v>
      </c>
      <c r="B2086" t="s">
        <v>491</v>
      </c>
      <c r="E2086" s="3">
        <f>HYPERLINK("https://sao.dolgi.msk.ru/account/1404233008/", 1404233008)</f>
        <v>1404233008</v>
      </c>
      <c r="F2086">
        <v>-2819.47</v>
      </c>
    </row>
    <row r="2087" spans="1:6" hidden="1" x14ac:dyDescent="0.25">
      <c r="A2087" t="s">
        <v>419</v>
      </c>
      <c r="B2087" t="s">
        <v>492</v>
      </c>
      <c r="E2087" s="3">
        <f>HYPERLINK("https://sao.dolgi.msk.ru/account/1404227951/", 1404227951)</f>
        <v>1404227951</v>
      </c>
      <c r="F2087">
        <v>0</v>
      </c>
    </row>
    <row r="2088" spans="1:6" hidden="1" x14ac:dyDescent="0.25">
      <c r="A2088" t="s">
        <v>419</v>
      </c>
      <c r="B2088" t="s">
        <v>493</v>
      </c>
      <c r="E2088" s="3">
        <f>HYPERLINK("https://sao.dolgi.msk.ru/account/1404229965/", 1404229965)</f>
        <v>1404229965</v>
      </c>
      <c r="F2088">
        <v>0</v>
      </c>
    </row>
    <row r="2089" spans="1:6" hidden="1" x14ac:dyDescent="0.25">
      <c r="A2089" t="s">
        <v>419</v>
      </c>
      <c r="B2089" t="s">
        <v>494</v>
      </c>
      <c r="E2089" s="3">
        <f>HYPERLINK("https://sao.dolgi.msk.ru/account/1404229439/", 1404229439)</f>
        <v>1404229439</v>
      </c>
      <c r="F2089">
        <v>-1936.64</v>
      </c>
    </row>
    <row r="2090" spans="1:6" hidden="1" x14ac:dyDescent="0.25">
      <c r="A2090" t="s">
        <v>419</v>
      </c>
      <c r="B2090" t="s">
        <v>495</v>
      </c>
      <c r="E2090" s="3">
        <f>HYPERLINK("https://sao.dolgi.msk.ru/account/1404231475/", 1404231475)</f>
        <v>1404231475</v>
      </c>
      <c r="F2090">
        <v>-2856.43</v>
      </c>
    </row>
    <row r="2091" spans="1:6" hidden="1" x14ac:dyDescent="0.25">
      <c r="A2091" t="s">
        <v>419</v>
      </c>
      <c r="B2091" t="s">
        <v>496</v>
      </c>
      <c r="E2091" s="3">
        <f>HYPERLINK("https://sao.dolgi.msk.ru/account/1404230325/", 1404230325)</f>
        <v>1404230325</v>
      </c>
      <c r="F2091">
        <v>0</v>
      </c>
    </row>
    <row r="2092" spans="1:6" hidden="1" x14ac:dyDescent="0.25">
      <c r="A2092" t="s">
        <v>419</v>
      </c>
      <c r="B2092" t="s">
        <v>497</v>
      </c>
      <c r="E2092" s="3">
        <f>HYPERLINK("https://sao.dolgi.msk.ru/account/1404226959/", 1404226959)</f>
        <v>1404226959</v>
      </c>
      <c r="F2092">
        <v>-2690.05</v>
      </c>
    </row>
    <row r="2093" spans="1:6" hidden="1" x14ac:dyDescent="0.25">
      <c r="A2093" t="s">
        <v>419</v>
      </c>
      <c r="B2093" t="s">
        <v>498</v>
      </c>
      <c r="E2093" s="3">
        <f>HYPERLINK("https://sao.dolgi.msk.ru/account/1404232451/", 1404232451)</f>
        <v>1404232451</v>
      </c>
      <c r="F2093">
        <v>0</v>
      </c>
    </row>
    <row r="2094" spans="1:6" hidden="1" x14ac:dyDescent="0.25">
      <c r="A2094" t="s">
        <v>419</v>
      </c>
      <c r="B2094" t="s">
        <v>499</v>
      </c>
      <c r="E2094" s="3">
        <f>HYPERLINK("https://sao.dolgi.msk.ru/account/1404230245/", 1404230245)</f>
        <v>1404230245</v>
      </c>
      <c r="F2094">
        <v>-1927.41</v>
      </c>
    </row>
    <row r="2095" spans="1:6" hidden="1" x14ac:dyDescent="0.25">
      <c r="A2095" t="s">
        <v>419</v>
      </c>
      <c r="B2095" t="s">
        <v>500</v>
      </c>
      <c r="E2095" s="3">
        <f>HYPERLINK("https://sao.dolgi.msk.ru/account/1404230819/", 1404230819)</f>
        <v>1404230819</v>
      </c>
      <c r="F2095">
        <v>0</v>
      </c>
    </row>
    <row r="2096" spans="1:6" hidden="1" x14ac:dyDescent="0.25">
      <c r="A2096" t="s">
        <v>419</v>
      </c>
      <c r="B2096" t="s">
        <v>501</v>
      </c>
      <c r="E2096" s="3">
        <f>HYPERLINK("https://sao.dolgi.msk.ru/account/1404228364/", 1404228364)</f>
        <v>1404228364</v>
      </c>
      <c r="F2096">
        <v>-1916.78</v>
      </c>
    </row>
    <row r="2097" spans="1:6" hidden="1" x14ac:dyDescent="0.25">
      <c r="A2097" t="s">
        <v>419</v>
      </c>
      <c r="B2097" t="s">
        <v>502</v>
      </c>
      <c r="E2097" s="3">
        <f>HYPERLINK("https://sao.dolgi.msk.ru/account/1404233147/", 1404233147)</f>
        <v>1404233147</v>
      </c>
      <c r="F2097">
        <v>0</v>
      </c>
    </row>
    <row r="2098" spans="1:6" hidden="1" x14ac:dyDescent="0.25">
      <c r="A2098" t="s">
        <v>419</v>
      </c>
      <c r="B2098" t="s">
        <v>503</v>
      </c>
      <c r="E2098" s="3">
        <f>HYPERLINK("https://sao.dolgi.msk.ru/account/1404228372/", 1404228372)</f>
        <v>1404228372</v>
      </c>
      <c r="F2098">
        <v>-4671.04</v>
      </c>
    </row>
    <row r="2099" spans="1:6" hidden="1" x14ac:dyDescent="0.25">
      <c r="A2099" t="s">
        <v>419</v>
      </c>
      <c r="B2099" t="s">
        <v>504</v>
      </c>
      <c r="E2099" s="3">
        <f>HYPERLINK("https://sao.dolgi.msk.ru/account/1404231117/", 1404231117)</f>
        <v>1404231117</v>
      </c>
      <c r="F2099">
        <v>-1932.03</v>
      </c>
    </row>
    <row r="2100" spans="1:6" hidden="1" x14ac:dyDescent="0.25">
      <c r="A2100" t="s">
        <v>419</v>
      </c>
      <c r="B2100" t="s">
        <v>505</v>
      </c>
      <c r="E2100" s="3">
        <f>HYPERLINK("https://sao.dolgi.msk.ru/account/1404229404/", 1404229404)</f>
        <v>1404229404</v>
      </c>
      <c r="F2100">
        <v>-2870.3</v>
      </c>
    </row>
    <row r="2101" spans="1:6" x14ac:dyDescent="0.25">
      <c r="A2101" t="s">
        <v>419</v>
      </c>
      <c r="B2101" t="s">
        <v>506</v>
      </c>
      <c r="C2101" s="5" t="str">
        <f t="shared" ref="C2101:C2102" si="85">" кв. "&amp;B2101</f>
        <v xml:space="preserve"> кв. 488</v>
      </c>
      <c r="D2101" s="5" t="str">
        <f>CONCATENATE(A2101,C2101)</f>
        <v>Беломорская ул., дом 13 к.1 кв. 488</v>
      </c>
      <c r="E2101" s="3">
        <f>HYPERLINK("https://sao.dolgi.msk.ru/account/1404233593/", 1404233593)</f>
        <v>1404233593</v>
      </c>
      <c r="F2101">
        <v>1935.76</v>
      </c>
    </row>
    <row r="2102" spans="1:6" x14ac:dyDescent="0.25">
      <c r="A2102" t="s">
        <v>419</v>
      </c>
      <c r="B2102" t="s">
        <v>507</v>
      </c>
      <c r="C2102" s="5" t="str">
        <f t="shared" si="85"/>
        <v xml:space="preserve"> кв. 489</v>
      </c>
      <c r="D2102" s="5" t="str">
        <f>CONCATENATE(A2102,C2102)</f>
        <v>Беломорская ул., дом 13 к.1 кв. 489</v>
      </c>
      <c r="E2102" s="3">
        <f>HYPERLINK("https://sao.dolgi.msk.ru/account/1404233614/", 1404233614)</f>
        <v>1404233614</v>
      </c>
      <c r="F2102">
        <v>1828.21</v>
      </c>
    </row>
    <row r="2103" spans="1:6" hidden="1" x14ac:dyDescent="0.25">
      <c r="A2103" t="s">
        <v>419</v>
      </c>
      <c r="B2103" t="s">
        <v>508</v>
      </c>
      <c r="E2103" s="3">
        <f>HYPERLINK("https://sao.dolgi.msk.ru/account/1404228487/", 1404228487)</f>
        <v>1404228487</v>
      </c>
      <c r="F2103">
        <v>0</v>
      </c>
    </row>
    <row r="2104" spans="1:6" hidden="1" x14ac:dyDescent="0.25">
      <c r="A2104" t="s">
        <v>419</v>
      </c>
      <c r="B2104" t="s">
        <v>509</v>
      </c>
      <c r="E2104" s="3">
        <f>HYPERLINK("https://sao.dolgi.msk.ru/account/1404226932/", 1404226932)</f>
        <v>1404226932</v>
      </c>
      <c r="F2104">
        <v>-1932.03</v>
      </c>
    </row>
    <row r="2105" spans="1:6" hidden="1" x14ac:dyDescent="0.25">
      <c r="A2105" t="s">
        <v>419</v>
      </c>
      <c r="B2105" t="s">
        <v>510</v>
      </c>
      <c r="E2105" s="3">
        <f>HYPERLINK("https://sao.dolgi.msk.ru/account/1404230958/", 1404230958)</f>
        <v>1404230958</v>
      </c>
      <c r="F2105">
        <v>-2861.06</v>
      </c>
    </row>
    <row r="2106" spans="1:6" hidden="1" x14ac:dyDescent="0.25">
      <c r="A2106" t="s">
        <v>419</v>
      </c>
      <c r="B2106" t="s">
        <v>511</v>
      </c>
      <c r="E2106" s="3">
        <f>HYPERLINK("https://sao.dolgi.msk.ru/account/1404229455/", 1404229455)</f>
        <v>1404229455</v>
      </c>
      <c r="F2106">
        <v>-2837.94</v>
      </c>
    </row>
    <row r="2107" spans="1:6" hidden="1" x14ac:dyDescent="0.25">
      <c r="A2107" t="s">
        <v>419</v>
      </c>
      <c r="B2107" t="s">
        <v>512</v>
      </c>
      <c r="E2107" s="3">
        <f>HYPERLINK("https://sao.dolgi.msk.ru/account/1404232419/", 1404232419)</f>
        <v>1404232419</v>
      </c>
      <c r="F2107">
        <v>-2657.69</v>
      </c>
    </row>
    <row r="2108" spans="1:6" hidden="1" x14ac:dyDescent="0.25">
      <c r="A2108" t="s">
        <v>419</v>
      </c>
      <c r="B2108" t="s">
        <v>513</v>
      </c>
      <c r="E2108" s="3">
        <f>HYPERLINK("https://sao.dolgi.msk.ru/account/1404231176/", 1404231176)</f>
        <v>1404231176</v>
      </c>
      <c r="F2108">
        <v>0</v>
      </c>
    </row>
    <row r="2109" spans="1:6" hidden="1" x14ac:dyDescent="0.25">
      <c r="A2109" t="s">
        <v>419</v>
      </c>
      <c r="B2109" t="s">
        <v>514</v>
      </c>
      <c r="E2109" s="3">
        <f>HYPERLINK("https://sao.dolgi.msk.ru/account/1404232531/", 1404232531)</f>
        <v>1404232531</v>
      </c>
      <c r="F2109">
        <v>0</v>
      </c>
    </row>
    <row r="2110" spans="1:6" hidden="1" x14ac:dyDescent="0.25">
      <c r="A2110" t="s">
        <v>419</v>
      </c>
      <c r="B2110" t="s">
        <v>515</v>
      </c>
      <c r="E2110" s="3">
        <f>HYPERLINK("https://sao.dolgi.msk.ru/account/1404234537/", 1404234537)</f>
        <v>1404234537</v>
      </c>
      <c r="F2110">
        <v>-904.62</v>
      </c>
    </row>
    <row r="2111" spans="1:6" hidden="1" x14ac:dyDescent="0.25">
      <c r="A2111" t="s">
        <v>419</v>
      </c>
      <c r="B2111" t="s">
        <v>516</v>
      </c>
      <c r="E2111" s="3">
        <f>HYPERLINK("https://sao.dolgi.msk.ru/account/1404229391/", 1404229391)</f>
        <v>1404229391</v>
      </c>
      <c r="F2111">
        <v>-2070.6799999999998</v>
      </c>
    </row>
    <row r="2112" spans="1:6" hidden="1" x14ac:dyDescent="0.25">
      <c r="A2112" t="s">
        <v>419</v>
      </c>
      <c r="B2112" t="s">
        <v>517</v>
      </c>
      <c r="E2112" s="3">
        <f>HYPERLINK("https://sao.dolgi.msk.ru/account/1404232136/", 1404232136)</f>
        <v>1404232136</v>
      </c>
      <c r="F2112">
        <v>-2407.92</v>
      </c>
    </row>
    <row r="2113" spans="1:6" hidden="1" x14ac:dyDescent="0.25">
      <c r="A2113" t="s">
        <v>419</v>
      </c>
      <c r="B2113" t="s">
        <v>518</v>
      </c>
      <c r="E2113" s="3">
        <f>HYPERLINK("https://sao.dolgi.msk.ru/account/1404228479/", 1404228479)</f>
        <v>1404228479</v>
      </c>
      <c r="F2113">
        <v>-2494.21</v>
      </c>
    </row>
    <row r="2114" spans="1:6" x14ac:dyDescent="0.25">
      <c r="A2114" t="s">
        <v>419</v>
      </c>
      <c r="B2114" t="s">
        <v>519</v>
      </c>
      <c r="C2114" s="5" t="str">
        <f>" кв. "&amp;B2114</f>
        <v xml:space="preserve"> кв. 501</v>
      </c>
      <c r="D2114" s="5" t="str">
        <f>CONCATENATE(A2114,C2114)</f>
        <v>Беломорская ул., дом 13 к.1 кв. 501</v>
      </c>
      <c r="E2114" s="3">
        <f>HYPERLINK("https://sao.dolgi.msk.ru/account/1404228989/", 1404228989)</f>
        <v>1404228989</v>
      </c>
      <c r="F2114">
        <v>1595.3</v>
      </c>
    </row>
    <row r="2115" spans="1:6" hidden="1" x14ac:dyDescent="0.25">
      <c r="A2115" t="s">
        <v>419</v>
      </c>
      <c r="B2115" t="s">
        <v>520</v>
      </c>
      <c r="E2115" s="3">
        <f>HYPERLINK("https://sao.dolgi.msk.ru/account/1404230755/", 1404230755)</f>
        <v>1404230755</v>
      </c>
      <c r="F2115">
        <v>-1480.24</v>
      </c>
    </row>
    <row r="2116" spans="1:6" hidden="1" x14ac:dyDescent="0.25">
      <c r="A2116" t="s">
        <v>419</v>
      </c>
      <c r="B2116" t="s">
        <v>521</v>
      </c>
      <c r="E2116" s="3">
        <f>HYPERLINK("https://sao.dolgi.msk.ru/account/1404228145/", 1404228145)</f>
        <v>1404228145</v>
      </c>
      <c r="F2116">
        <v>-1794.32</v>
      </c>
    </row>
    <row r="2117" spans="1:6" x14ac:dyDescent="0.25">
      <c r="A2117" t="s">
        <v>419</v>
      </c>
      <c r="B2117" t="s">
        <v>522</v>
      </c>
      <c r="C2117" s="5" t="str">
        <f>" кв. "&amp;B2117</f>
        <v xml:space="preserve"> кв. 504</v>
      </c>
      <c r="D2117" s="5" t="str">
        <f>CONCATENATE(A2117,C2117)</f>
        <v>Беломорская ул., дом 13 к.1 кв. 504</v>
      </c>
      <c r="E2117" s="3">
        <f>HYPERLINK("https://sao.dolgi.msk.ru/account/1404228153/", 1404228153)</f>
        <v>1404228153</v>
      </c>
      <c r="F2117">
        <v>1913.62</v>
      </c>
    </row>
    <row r="2118" spans="1:6" hidden="1" x14ac:dyDescent="0.25">
      <c r="A2118" t="s">
        <v>419</v>
      </c>
      <c r="B2118" t="s">
        <v>523</v>
      </c>
      <c r="E2118" s="3">
        <f>HYPERLINK("https://sao.dolgi.msk.ru/account/1404233833/", 1404233833)</f>
        <v>1404233833</v>
      </c>
      <c r="F2118">
        <v>-1927.41</v>
      </c>
    </row>
    <row r="2119" spans="1:6" x14ac:dyDescent="0.25">
      <c r="A2119" t="s">
        <v>419</v>
      </c>
      <c r="B2119" t="s">
        <v>524</v>
      </c>
      <c r="C2119" s="5" t="str">
        <f>" кв. "&amp;B2119</f>
        <v xml:space="preserve"> кв. 506</v>
      </c>
      <c r="D2119" s="5" t="str">
        <f>CONCATENATE(A2119,C2119)</f>
        <v>Беломорская ул., дом 13 к.1 кв. 506</v>
      </c>
      <c r="E2119" s="3">
        <f>HYPERLINK("https://sao.dolgi.msk.ru/account/1404233841/", 1404233841)</f>
        <v>1404233841</v>
      </c>
      <c r="F2119">
        <v>1904.13</v>
      </c>
    </row>
    <row r="2120" spans="1:6" hidden="1" x14ac:dyDescent="0.25">
      <c r="A2120" t="s">
        <v>419</v>
      </c>
      <c r="B2120" t="s">
        <v>525</v>
      </c>
      <c r="E2120" s="3">
        <f>HYPERLINK("https://sao.dolgi.msk.ru/account/1404229172/", 1404229172)</f>
        <v>1404229172</v>
      </c>
      <c r="F2120">
        <v>-1345.04</v>
      </c>
    </row>
    <row r="2121" spans="1:6" hidden="1" x14ac:dyDescent="0.25">
      <c r="A2121" t="s">
        <v>419</v>
      </c>
      <c r="B2121" t="s">
        <v>526</v>
      </c>
      <c r="E2121" s="3">
        <f>HYPERLINK("https://sao.dolgi.msk.ru/account/1404231782/", 1404231782)</f>
        <v>1404231782</v>
      </c>
      <c r="F2121">
        <v>0</v>
      </c>
    </row>
    <row r="2122" spans="1:6" hidden="1" x14ac:dyDescent="0.25">
      <c r="A2122" t="s">
        <v>419</v>
      </c>
      <c r="B2122" t="s">
        <v>527</v>
      </c>
      <c r="E2122" s="3">
        <f>HYPERLINK("https://sao.dolgi.msk.ru/account/1404229199/", 1404229199)</f>
        <v>1404229199</v>
      </c>
      <c r="F2122">
        <v>-1982.86</v>
      </c>
    </row>
    <row r="2123" spans="1:6" x14ac:dyDescent="0.25">
      <c r="A2123" t="s">
        <v>419</v>
      </c>
      <c r="B2123" t="s">
        <v>528</v>
      </c>
      <c r="C2123" s="5" t="str">
        <f>" кв. "&amp;B2123</f>
        <v xml:space="preserve"> кв. 510</v>
      </c>
      <c r="D2123" s="5" t="str">
        <f>CONCATENATE(A2123,C2123)</f>
        <v>Беломорская ул., дом 13 к.1 кв. 510</v>
      </c>
      <c r="E2123" s="3">
        <f>HYPERLINK("https://sao.dolgi.msk.ru/account/1404231803/", 1404231803)</f>
        <v>1404231803</v>
      </c>
      <c r="F2123">
        <v>1309.48</v>
      </c>
    </row>
    <row r="2124" spans="1:6" hidden="1" x14ac:dyDescent="0.25">
      <c r="A2124" t="s">
        <v>419</v>
      </c>
      <c r="B2124" t="s">
        <v>529</v>
      </c>
      <c r="E2124" s="3">
        <f>HYPERLINK("https://sao.dolgi.msk.ru/account/1404232881/", 1404232881)</f>
        <v>1404232881</v>
      </c>
      <c r="F2124">
        <v>-2048.7199999999998</v>
      </c>
    </row>
    <row r="2125" spans="1:6" x14ac:dyDescent="0.25">
      <c r="A2125" t="s">
        <v>419</v>
      </c>
      <c r="B2125" t="s">
        <v>530</v>
      </c>
      <c r="C2125" s="5" t="str">
        <f t="shared" ref="C2125:C2126" si="86">" кв. "&amp;B2125</f>
        <v xml:space="preserve"> кв. 512</v>
      </c>
      <c r="D2125" s="5" t="str">
        <f>CONCATENATE(A2125,C2125)</f>
        <v>Беломорская ул., дом 13 к.1 кв. 512</v>
      </c>
      <c r="E2125" s="3">
        <f>HYPERLINK("https://sao.dolgi.msk.ru/account/1404227417/", 1404227417)</f>
        <v>1404227417</v>
      </c>
      <c r="F2125">
        <v>1799.75</v>
      </c>
    </row>
    <row r="2126" spans="1:6" x14ac:dyDescent="0.25">
      <c r="A2126" t="s">
        <v>419</v>
      </c>
      <c r="B2126" t="s">
        <v>531</v>
      </c>
      <c r="C2126" s="5" t="str">
        <f t="shared" si="86"/>
        <v xml:space="preserve"> кв. 513</v>
      </c>
      <c r="D2126" s="5" t="str">
        <f>CONCATENATE(A2126,C2126)</f>
        <v>Беломорская ул., дом 13 к.1 кв. 513</v>
      </c>
      <c r="E2126" s="3">
        <f>HYPERLINK("https://sao.dolgi.msk.ru/account/1404228284/", 1404228284)</f>
        <v>1404228284</v>
      </c>
      <c r="F2126">
        <v>1296.83</v>
      </c>
    </row>
    <row r="2127" spans="1:6" hidden="1" x14ac:dyDescent="0.25">
      <c r="A2127" t="s">
        <v>419</v>
      </c>
      <c r="B2127" t="s">
        <v>532</v>
      </c>
      <c r="E2127" s="3">
        <f>HYPERLINK("https://sao.dolgi.msk.ru/account/1404229201/", 1404229201)</f>
        <v>1404229201</v>
      </c>
      <c r="F2127">
        <v>-2763.99</v>
      </c>
    </row>
    <row r="2128" spans="1:6" hidden="1" x14ac:dyDescent="0.25">
      <c r="A2128" t="s">
        <v>419</v>
      </c>
      <c r="B2128" t="s">
        <v>533</v>
      </c>
      <c r="E2128" s="3">
        <f>HYPERLINK("https://sao.dolgi.msk.ru/account/1404230093/", 1404230093)</f>
        <v>1404230093</v>
      </c>
      <c r="F2128">
        <v>-1908.92</v>
      </c>
    </row>
    <row r="2129" spans="1:6" hidden="1" x14ac:dyDescent="0.25">
      <c r="A2129" t="s">
        <v>419</v>
      </c>
      <c r="B2129" t="s">
        <v>534</v>
      </c>
      <c r="E2129" s="3">
        <f>HYPERLINK("https://sao.dolgi.msk.ru/account/1404232902/", 1404232902)</f>
        <v>1404232902</v>
      </c>
      <c r="F2129">
        <v>-2745.5</v>
      </c>
    </row>
    <row r="2130" spans="1:6" hidden="1" x14ac:dyDescent="0.25">
      <c r="A2130" t="s">
        <v>419</v>
      </c>
      <c r="B2130" t="s">
        <v>535</v>
      </c>
      <c r="E2130" s="3">
        <f>HYPERLINK("https://sao.dolgi.msk.ru/account/1404232929/", 1404232929)</f>
        <v>1404232929</v>
      </c>
      <c r="F2130">
        <v>-2629.95</v>
      </c>
    </row>
    <row r="2131" spans="1:6" hidden="1" x14ac:dyDescent="0.25">
      <c r="A2131" t="s">
        <v>419</v>
      </c>
      <c r="B2131" t="s">
        <v>536</v>
      </c>
      <c r="E2131" s="3">
        <f>HYPERLINK("https://sao.dolgi.msk.ru/account/1404234334/", 1404234334)</f>
        <v>1404234334</v>
      </c>
      <c r="F2131">
        <v>-1899.67</v>
      </c>
    </row>
    <row r="2132" spans="1:6" hidden="1" x14ac:dyDescent="0.25">
      <c r="A2132" t="s">
        <v>419</v>
      </c>
      <c r="B2132" t="s">
        <v>537</v>
      </c>
      <c r="E2132" s="3">
        <f>HYPERLINK("https://sao.dolgi.msk.ru/account/1404234342/", 1404234342)</f>
        <v>1404234342</v>
      </c>
      <c r="F2132">
        <v>-2787.11</v>
      </c>
    </row>
    <row r="2133" spans="1:6" hidden="1" x14ac:dyDescent="0.25">
      <c r="A2133" t="s">
        <v>419</v>
      </c>
      <c r="B2133" t="s">
        <v>538</v>
      </c>
      <c r="E2133" s="3">
        <f>HYPERLINK("https://sao.dolgi.msk.ru/account/1404230309/", 1404230309)</f>
        <v>1404230309</v>
      </c>
      <c r="F2133">
        <v>-1913.54</v>
      </c>
    </row>
    <row r="2134" spans="1:6" x14ac:dyDescent="0.25">
      <c r="A2134" t="s">
        <v>419</v>
      </c>
      <c r="B2134" t="s">
        <v>539</v>
      </c>
      <c r="C2134" s="5" t="str">
        <f>" кв. "&amp;B2134</f>
        <v xml:space="preserve"> кв. 521</v>
      </c>
      <c r="D2134" s="5" t="str">
        <f>CONCATENATE(A2134,C2134)</f>
        <v>Беломорская ул., дом 13 к.1 кв. 521</v>
      </c>
      <c r="E2134" s="3">
        <f>HYPERLINK("https://sao.dolgi.msk.ru/account/1404228452/", 1404228452)</f>
        <v>1404228452</v>
      </c>
      <c r="F2134">
        <v>1360.09</v>
      </c>
    </row>
    <row r="2135" spans="1:6" hidden="1" x14ac:dyDescent="0.25">
      <c r="A2135" t="s">
        <v>419</v>
      </c>
      <c r="B2135" t="s">
        <v>540</v>
      </c>
      <c r="E2135" s="3">
        <f>HYPERLINK("https://sao.dolgi.msk.ru/account/1404231133/", 1404231133)</f>
        <v>1404231133</v>
      </c>
      <c r="F2135">
        <v>-2162.3200000000002</v>
      </c>
    </row>
    <row r="2136" spans="1:6" hidden="1" x14ac:dyDescent="0.25">
      <c r="A2136" t="s">
        <v>419</v>
      </c>
      <c r="B2136" t="s">
        <v>541</v>
      </c>
      <c r="E2136" s="3">
        <f>HYPERLINK("https://sao.dolgi.msk.ru/account/1404231141/", 1404231141)</f>
        <v>1404231141</v>
      </c>
      <c r="F2136">
        <v>-2257.6799999999998</v>
      </c>
    </row>
    <row r="2137" spans="1:6" hidden="1" x14ac:dyDescent="0.25">
      <c r="A2137" t="s">
        <v>419</v>
      </c>
      <c r="B2137" t="s">
        <v>542</v>
      </c>
      <c r="E2137" s="3">
        <f>HYPERLINK("https://sao.dolgi.msk.ru/account/1404227599/", 1404227599)</f>
        <v>1404227599</v>
      </c>
      <c r="F2137">
        <v>-2010.6</v>
      </c>
    </row>
    <row r="2138" spans="1:6" x14ac:dyDescent="0.25">
      <c r="A2138" t="s">
        <v>419</v>
      </c>
      <c r="B2138" t="s">
        <v>543</v>
      </c>
      <c r="C2138" s="5" t="str">
        <f>" кв. "&amp;B2138</f>
        <v xml:space="preserve"> кв. 525</v>
      </c>
      <c r="D2138" s="5" t="str">
        <f>CONCATENATE(A2138,C2138)</f>
        <v>Беломорская ул., дом 13 к.1 кв. 525</v>
      </c>
      <c r="E2138" s="3">
        <f>HYPERLINK("https://sao.dolgi.msk.ru/account/1404232646/", 1404232646)</f>
        <v>1404232646</v>
      </c>
      <c r="F2138">
        <v>1318.97</v>
      </c>
    </row>
    <row r="2139" spans="1:6" hidden="1" x14ac:dyDescent="0.25">
      <c r="A2139" t="s">
        <v>419</v>
      </c>
      <c r="B2139" t="s">
        <v>544</v>
      </c>
      <c r="E2139" s="3">
        <f>HYPERLINK("https://sao.dolgi.msk.ru/account/1404228137/", 1404228137)</f>
        <v>1404228137</v>
      </c>
      <c r="F2139">
        <v>-2754.75</v>
      </c>
    </row>
    <row r="2140" spans="1:6" hidden="1" x14ac:dyDescent="0.25">
      <c r="A2140" t="s">
        <v>419</v>
      </c>
      <c r="B2140" t="s">
        <v>545</v>
      </c>
      <c r="E2140" s="3">
        <f>HYPERLINK("https://sao.dolgi.msk.ru/account/1404229033/", 1404229033)</f>
        <v>1404229033</v>
      </c>
      <c r="F2140">
        <v>-1566.19</v>
      </c>
    </row>
    <row r="2141" spans="1:6" hidden="1" x14ac:dyDescent="0.25">
      <c r="A2141" t="s">
        <v>419</v>
      </c>
      <c r="B2141" t="s">
        <v>546</v>
      </c>
      <c r="E2141" s="3">
        <f>HYPERLINK("https://sao.dolgi.msk.ru/account/1404232654/", 1404232654)</f>
        <v>1404232654</v>
      </c>
      <c r="F2141">
        <v>-2690.05</v>
      </c>
    </row>
    <row r="2142" spans="1:6" x14ac:dyDescent="0.25">
      <c r="A2142" t="s">
        <v>419</v>
      </c>
      <c r="B2142" t="s">
        <v>547</v>
      </c>
      <c r="C2142" s="5" t="str">
        <f>" кв. "&amp;B2142</f>
        <v xml:space="preserve"> кв. 529</v>
      </c>
      <c r="D2142" s="5" t="str">
        <f>CONCATENATE(A2142,C2142)</f>
        <v>Беломорская ул., дом 13 к.1 кв. 529</v>
      </c>
      <c r="E2142" s="3">
        <f>HYPERLINK("https://sao.dolgi.msk.ru/account/1404227257/", 1404227257)</f>
        <v>1404227257</v>
      </c>
      <c r="F2142">
        <v>1046.95</v>
      </c>
    </row>
    <row r="2143" spans="1:6" hidden="1" x14ac:dyDescent="0.25">
      <c r="A2143" t="s">
        <v>419</v>
      </c>
      <c r="B2143" t="s">
        <v>548</v>
      </c>
      <c r="E2143" s="3">
        <f>HYPERLINK("https://sao.dolgi.msk.ru/account/1404231635/", 1404231635)</f>
        <v>1404231635</v>
      </c>
      <c r="F2143">
        <v>-1284.93</v>
      </c>
    </row>
    <row r="2144" spans="1:6" hidden="1" x14ac:dyDescent="0.25">
      <c r="A2144" t="s">
        <v>419</v>
      </c>
      <c r="B2144" t="s">
        <v>549</v>
      </c>
      <c r="E2144" s="3">
        <f>HYPERLINK("https://sao.dolgi.msk.ru/account/1404229041/", 1404229041)</f>
        <v>1404229041</v>
      </c>
      <c r="F2144">
        <v>-2294.38</v>
      </c>
    </row>
    <row r="2145" spans="1:6" hidden="1" x14ac:dyDescent="0.25">
      <c r="A2145" t="s">
        <v>419</v>
      </c>
      <c r="B2145" t="s">
        <v>550</v>
      </c>
      <c r="E2145" s="3">
        <f>HYPERLINK("https://sao.dolgi.msk.ru/account/1404232371/", 1404232371)</f>
        <v>1404232371</v>
      </c>
      <c r="F2145">
        <v>-662.1</v>
      </c>
    </row>
    <row r="2146" spans="1:6" hidden="1" x14ac:dyDescent="0.25">
      <c r="A2146" t="s">
        <v>419</v>
      </c>
      <c r="B2146" t="s">
        <v>550</v>
      </c>
      <c r="E2146" s="3">
        <f>HYPERLINK("https://sao.dolgi.msk.ru/account/1404233702/", 1404233702)</f>
        <v>1404233702</v>
      </c>
      <c r="F2146">
        <v>-1324.22</v>
      </c>
    </row>
    <row r="2147" spans="1:6" x14ac:dyDescent="0.25">
      <c r="A2147" t="s">
        <v>419</v>
      </c>
      <c r="B2147" t="s">
        <v>551</v>
      </c>
      <c r="C2147" s="5" t="str">
        <f>" кв. "&amp;B2147</f>
        <v xml:space="preserve"> кв. 533</v>
      </c>
      <c r="D2147" s="5" t="str">
        <f>CONCATENATE(A2147,C2147)</f>
        <v>Беломорская ул., дом 13 к.1 кв. 533</v>
      </c>
      <c r="E2147" s="3">
        <f>HYPERLINK("https://sao.dolgi.msk.ru/account/1404233868/", 1404233868)</f>
        <v>1404233868</v>
      </c>
      <c r="F2147">
        <v>1306.31</v>
      </c>
    </row>
    <row r="2148" spans="1:6" hidden="1" x14ac:dyDescent="0.25">
      <c r="A2148" t="s">
        <v>419</v>
      </c>
      <c r="B2148" t="s">
        <v>552</v>
      </c>
      <c r="E2148" s="3">
        <f>HYPERLINK("https://sao.dolgi.msk.ru/account/1404234465/", 1404234465)</f>
        <v>1404234465</v>
      </c>
      <c r="F2148">
        <v>-2086.88</v>
      </c>
    </row>
    <row r="2149" spans="1:6" hidden="1" x14ac:dyDescent="0.25">
      <c r="A2149" t="s">
        <v>419</v>
      </c>
      <c r="B2149" t="s">
        <v>553</v>
      </c>
      <c r="E2149" s="3">
        <f>HYPERLINK("https://sao.dolgi.msk.ru/account/1404228161/", 1404228161)</f>
        <v>1404228161</v>
      </c>
      <c r="F2149">
        <v>-1927.41</v>
      </c>
    </row>
    <row r="2150" spans="1:6" hidden="1" x14ac:dyDescent="0.25">
      <c r="A2150" t="s">
        <v>419</v>
      </c>
      <c r="B2150" t="s">
        <v>554</v>
      </c>
      <c r="E2150" s="3">
        <f>HYPERLINK("https://sao.dolgi.msk.ru/account/1404229068/", 1404229068)</f>
        <v>1404229068</v>
      </c>
      <c r="F2150">
        <v>-2773.24</v>
      </c>
    </row>
    <row r="2151" spans="1:6" hidden="1" x14ac:dyDescent="0.25">
      <c r="A2151" t="s">
        <v>419</v>
      </c>
      <c r="B2151" t="s">
        <v>555</v>
      </c>
      <c r="E2151" s="3">
        <f>HYPERLINK("https://sao.dolgi.msk.ru/account/1404229949/", 1404229949)</f>
        <v>1404229949</v>
      </c>
      <c r="F2151">
        <v>-1918.16</v>
      </c>
    </row>
    <row r="2152" spans="1:6" hidden="1" x14ac:dyDescent="0.25">
      <c r="A2152" t="s">
        <v>419</v>
      </c>
      <c r="B2152" t="s">
        <v>556</v>
      </c>
      <c r="E2152" s="3">
        <f>HYPERLINK("https://sao.dolgi.msk.ru/account/1404228188/", 1404228188)</f>
        <v>1404228188</v>
      </c>
      <c r="F2152">
        <v>-2671.55</v>
      </c>
    </row>
    <row r="2153" spans="1:6" hidden="1" x14ac:dyDescent="0.25">
      <c r="A2153" t="s">
        <v>419</v>
      </c>
      <c r="B2153" t="s">
        <v>557</v>
      </c>
      <c r="E2153" s="3">
        <f>HYPERLINK("https://sao.dolgi.msk.ru/account/1404232291/", 1404232291)</f>
        <v>1404232291</v>
      </c>
      <c r="F2153">
        <v>0</v>
      </c>
    </row>
    <row r="2154" spans="1:6" hidden="1" x14ac:dyDescent="0.25">
      <c r="A2154" t="s">
        <v>419</v>
      </c>
      <c r="B2154" t="s">
        <v>558</v>
      </c>
      <c r="E2154" s="3">
        <f>HYPERLINK("https://sao.dolgi.msk.ru/account/1404232304/", 1404232304)</f>
        <v>1404232304</v>
      </c>
      <c r="F2154">
        <v>-1918.17</v>
      </c>
    </row>
    <row r="2155" spans="1:6" hidden="1" x14ac:dyDescent="0.25">
      <c r="A2155" t="s">
        <v>419</v>
      </c>
      <c r="B2155" t="s">
        <v>559</v>
      </c>
      <c r="E2155" s="3">
        <f>HYPERLINK("https://sao.dolgi.msk.ru/account/1404228727/", 1404228727)</f>
        <v>1404228727</v>
      </c>
      <c r="F2155">
        <v>-2782.49</v>
      </c>
    </row>
    <row r="2156" spans="1:6" hidden="1" x14ac:dyDescent="0.25">
      <c r="A2156" t="s">
        <v>419</v>
      </c>
      <c r="B2156" t="s">
        <v>560</v>
      </c>
      <c r="E2156" s="3">
        <f>HYPERLINK("https://sao.dolgi.msk.ru/account/1404231352/", 1404231352)</f>
        <v>1404231352</v>
      </c>
      <c r="F2156">
        <v>-1771.21</v>
      </c>
    </row>
    <row r="2157" spans="1:6" hidden="1" x14ac:dyDescent="0.25">
      <c r="A2157" t="s">
        <v>419</v>
      </c>
      <c r="B2157" t="s">
        <v>561</v>
      </c>
      <c r="E2157" s="3">
        <f>HYPERLINK("https://sao.dolgi.msk.ru/account/1404232312/", 1404232312)</f>
        <v>1404232312</v>
      </c>
      <c r="F2157">
        <v>-2666.93</v>
      </c>
    </row>
    <row r="2158" spans="1:6" x14ac:dyDescent="0.25">
      <c r="A2158" t="s">
        <v>419</v>
      </c>
      <c r="B2158" t="s">
        <v>562</v>
      </c>
      <c r="C2158" s="5" t="str">
        <f t="shared" ref="C2158:C2160" si="87">" кв. "&amp;B2158</f>
        <v xml:space="preserve"> кв. 544</v>
      </c>
      <c r="D2158" s="5" t="str">
        <f>CONCATENATE(A2158,C2158)</f>
        <v>Беломорская ул., дом 13 к.1 кв. 544</v>
      </c>
      <c r="E2158" s="3">
        <f>HYPERLINK("https://sao.dolgi.msk.ru/account/1404231379/", 1404231379)</f>
        <v>1404231379</v>
      </c>
      <c r="F2158">
        <v>1236.73</v>
      </c>
    </row>
    <row r="2159" spans="1:6" x14ac:dyDescent="0.25">
      <c r="A2159" t="s">
        <v>419</v>
      </c>
      <c r="B2159" t="s">
        <v>563</v>
      </c>
      <c r="C2159" s="5" t="str">
        <f t="shared" si="87"/>
        <v xml:space="preserve"> кв. 545</v>
      </c>
      <c r="D2159" s="5" t="str">
        <f>CONCATENATE(A2159,C2159)</f>
        <v>Беломорская ул., дом 13 к.1 кв. 545</v>
      </c>
      <c r="E2159" s="3">
        <f>HYPERLINK("https://sao.dolgi.msk.ru/account/1404233462/", 1404233462)</f>
        <v>1404233462</v>
      </c>
      <c r="F2159">
        <v>1322.13</v>
      </c>
    </row>
    <row r="2160" spans="1:6" x14ac:dyDescent="0.25">
      <c r="A2160" t="s">
        <v>419</v>
      </c>
      <c r="B2160" t="s">
        <v>564</v>
      </c>
      <c r="C2160" s="5" t="str">
        <f t="shared" si="87"/>
        <v xml:space="preserve"> кв. 546</v>
      </c>
      <c r="D2160" s="5" t="str">
        <f>CONCATENATE(A2160,C2160)</f>
        <v>Беломорская ул., дом 13 к.1 кв. 546</v>
      </c>
      <c r="E2160" s="3">
        <f>HYPERLINK("https://sao.dolgi.msk.ru/account/1404233489/", 1404233489)</f>
        <v>1404233489</v>
      </c>
      <c r="F2160">
        <v>1894.64</v>
      </c>
    </row>
    <row r="2161" spans="1:6" hidden="1" x14ac:dyDescent="0.25">
      <c r="A2161" t="s">
        <v>419</v>
      </c>
      <c r="B2161" t="s">
        <v>565</v>
      </c>
      <c r="E2161" s="3">
        <f>HYPERLINK("https://sao.dolgi.msk.ru/account/1404231395/", 1404231395)</f>
        <v>1404231395</v>
      </c>
      <c r="F2161">
        <v>0</v>
      </c>
    </row>
    <row r="2162" spans="1:6" hidden="1" x14ac:dyDescent="0.25">
      <c r="A2162" t="s">
        <v>419</v>
      </c>
      <c r="B2162" t="s">
        <v>566</v>
      </c>
      <c r="E2162" s="3">
        <f>HYPERLINK("https://sao.dolgi.msk.ru/account/1404232339/", 1404232339)</f>
        <v>1404232339</v>
      </c>
      <c r="F2162">
        <v>-1570.07</v>
      </c>
    </row>
    <row r="2163" spans="1:6" hidden="1" x14ac:dyDescent="0.25">
      <c r="A2163" t="s">
        <v>419</v>
      </c>
      <c r="B2163" t="s">
        <v>567</v>
      </c>
      <c r="E2163" s="3">
        <f>HYPERLINK("https://sao.dolgi.msk.ru/account/1404226852/", 1404226852)</f>
        <v>1404226852</v>
      </c>
      <c r="F2163">
        <v>-2773.24</v>
      </c>
    </row>
    <row r="2164" spans="1:6" hidden="1" x14ac:dyDescent="0.25">
      <c r="A2164" t="s">
        <v>419</v>
      </c>
      <c r="B2164" t="s">
        <v>568</v>
      </c>
      <c r="E2164" s="3">
        <f>HYPERLINK("https://sao.dolgi.msk.ru/account/1404231408/", 1404231408)</f>
        <v>1404231408</v>
      </c>
      <c r="F2164">
        <v>0</v>
      </c>
    </row>
    <row r="2165" spans="1:6" hidden="1" x14ac:dyDescent="0.25">
      <c r="A2165" t="s">
        <v>419</v>
      </c>
      <c r="B2165" t="s">
        <v>569</v>
      </c>
      <c r="E2165" s="3">
        <f>HYPERLINK("https://sao.dolgi.msk.ru/account/1404234035/", 1404234035)</f>
        <v>1404234035</v>
      </c>
      <c r="F2165">
        <v>0</v>
      </c>
    </row>
    <row r="2166" spans="1:6" hidden="1" x14ac:dyDescent="0.25">
      <c r="A2166" t="s">
        <v>419</v>
      </c>
      <c r="B2166" t="s">
        <v>570</v>
      </c>
      <c r="E2166" s="3">
        <f>HYPERLINK("https://sao.dolgi.msk.ru/account/1404230114/", 1404230114)</f>
        <v>1404230114</v>
      </c>
      <c r="F2166">
        <v>-2671.55</v>
      </c>
    </row>
    <row r="2167" spans="1:6" hidden="1" x14ac:dyDescent="0.25">
      <c r="A2167" t="s">
        <v>419</v>
      </c>
      <c r="B2167" t="s">
        <v>571</v>
      </c>
      <c r="E2167" s="3">
        <f>HYPERLINK("https://sao.dolgi.msk.ru/account/1404232662/", 1404232662)</f>
        <v>1404232662</v>
      </c>
      <c r="F2167">
        <v>-2662.31</v>
      </c>
    </row>
    <row r="2168" spans="1:6" x14ac:dyDescent="0.25">
      <c r="A2168" t="s">
        <v>419</v>
      </c>
      <c r="B2168" t="s">
        <v>572</v>
      </c>
      <c r="C2168" s="5" t="str">
        <f>" кв. "&amp;B2168</f>
        <v xml:space="preserve"> кв. 554</v>
      </c>
      <c r="D2168" s="5" t="str">
        <f>CONCATENATE(A2168,C2168)</f>
        <v>Беломорская ул., дом 13 к.1 кв. 554</v>
      </c>
      <c r="E2168" s="3">
        <f>HYPERLINK("https://sao.dolgi.msk.ru/account/1404227265/", 1404227265)</f>
        <v>1404227265</v>
      </c>
      <c r="F2168">
        <v>1913.62</v>
      </c>
    </row>
    <row r="2169" spans="1:6" hidden="1" x14ac:dyDescent="0.25">
      <c r="A2169" t="s">
        <v>419</v>
      </c>
      <c r="B2169" t="s">
        <v>573</v>
      </c>
      <c r="E2169" s="3">
        <f>HYPERLINK("https://sao.dolgi.msk.ru/account/1404233454/", 1404233454)</f>
        <v>1404233454</v>
      </c>
      <c r="F2169">
        <v>0</v>
      </c>
    </row>
    <row r="2170" spans="1:6" hidden="1" x14ac:dyDescent="0.25">
      <c r="A2170" t="s">
        <v>419</v>
      </c>
      <c r="B2170" t="s">
        <v>574</v>
      </c>
      <c r="E2170" s="3">
        <f>HYPERLINK("https://sao.dolgi.msk.ru/account/1404228735/", 1404228735)</f>
        <v>1404228735</v>
      </c>
      <c r="F2170">
        <v>0</v>
      </c>
    </row>
    <row r="2171" spans="1:6" hidden="1" x14ac:dyDescent="0.25">
      <c r="A2171" t="s">
        <v>419</v>
      </c>
      <c r="B2171" t="s">
        <v>575</v>
      </c>
      <c r="E2171" s="3">
        <f>HYPERLINK("https://sao.dolgi.msk.ru/account/1404231387/", 1404231387)</f>
        <v>1404231387</v>
      </c>
      <c r="F2171">
        <v>-2662.31</v>
      </c>
    </row>
    <row r="2172" spans="1:6" hidden="1" x14ac:dyDescent="0.25">
      <c r="A2172" t="s">
        <v>419</v>
      </c>
      <c r="B2172" t="s">
        <v>576</v>
      </c>
      <c r="E2172" s="3">
        <f>HYPERLINK("https://sao.dolgi.msk.ru/account/1404229623/", 1404229623)</f>
        <v>1404229623</v>
      </c>
      <c r="F2172">
        <v>-2671.55</v>
      </c>
    </row>
    <row r="2173" spans="1:6" hidden="1" x14ac:dyDescent="0.25">
      <c r="A2173" t="s">
        <v>419</v>
      </c>
      <c r="B2173" t="s">
        <v>577</v>
      </c>
      <c r="E2173" s="3">
        <f>HYPERLINK("https://sao.dolgi.msk.ru/account/1404234051/", 1404234051)</f>
        <v>1404234051</v>
      </c>
      <c r="F2173">
        <v>-2777.86</v>
      </c>
    </row>
    <row r="2174" spans="1:6" hidden="1" x14ac:dyDescent="0.25">
      <c r="A2174" t="s">
        <v>419</v>
      </c>
      <c r="B2174" t="s">
        <v>578</v>
      </c>
      <c r="E2174" s="3">
        <f>HYPERLINK("https://sao.dolgi.msk.ru/account/1404230149/", 1404230149)</f>
        <v>1404230149</v>
      </c>
      <c r="F2174">
        <v>-304.22000000000003</v>
      </c>
    </row>
    <row r="2175" spans="1:6" hidden="1" x14ac:dyDescent="0.25">
      <c r="A2175" t="s">
        <v>419</v>
      </c>
      <c r="B2175" t="s">
        <v>579</v>
      </c>
      <c r="E2175" s="3">
        <f>HYPERLINK("https://sao.dolgi.msk.ru/account/1404234078/", 1404234078)</f>
        <v>1404234078</v>
      </c>
      <c r="F2175">
        <v>-2316.0500000000002</v>
      </c>
    </row>
    <row r="2176" spans="1:6" hidden="1" x14ac:dyDescent="0.25">
      <c r="A2176" t="s">
        <v>419</v>
      </c>
      <c r="B2176" t="s">
        <v>580</v>
      </c>
      <c r="E2176" s="3">
        <f>HYPERLINK("https://sao.dolgi.msk.ru/account/1404228081/", 1404228081)</f>
        <v>1404228081</v>
      </c>
      <c r="F2176">
        <v>-2653.06</v>
      </c>
    </row>
    <row r="2177" spans="1:6" hidden="1" x14ac:dyDescent="0.25">
      <c r="A2177" t="s">
        <v>419</v>
      </c>
      <c r="B2177" t="s">
        <v>581</v>
      </c>
      <c r="E2177" s="3">
        <f>HYPERLINK("https://sao.dolgi.msk.ru/account/1404231838/", 1404231838)</f>
        <v>1404231838</v>
      </c>
      <c r="F2177">
        <v>-2676.18</v>
      </c>
    </row>
    <row r="2178" spans="1:6" hidden="1" x14ac:dyDescent="0.25">
      <c r="A2178" t="s">
        <v>419</v>
      </c>
      <c r="B2178" t="s">
        <v>582</v>
      </c>
      <c r="E2178" s="3">
        <f>HYPERLINK("https://sao.dolgi.msk.ru/account/1404234043/", 1404234043)</f>
        <v>1404234043</v>
      </c>
      <c r="F2178">
        <v>0</v>
      </c>
    </row>
    <row r="2179" spans="1:6" hidden="1" x14ac:dyDescent="0.25">
      <c r="A2179" t="s">
        <v>419</v>
      </c>
      <c r="B2179" t="s">
        <v>583</v>
      </c>
      <c r="E2179" s="3">
        <f>HYPERLINK("https://sao.dolgi.msk.ru/account/1404231846/", 1404231846)</f>
        <v>1404231846</v>
      </c>
      <c r="F2179">
        <v>-1918.17</v>
      </c>
    </row>
    <row r="2180" spans="1:6" hidden="1" x14ac:dyDescent="0.25">
      <c r="A2180" t="s">
        <v>419</v>
      </c>
      <c r="B2180" t="s">
        <v>584</v>
      </c>
      <c r="E2180" s="3">
        <f>HYPERLINK("https://sao.dolgi.msk.ru/account/1404230122/", 1404230122)</f>
        <v>1404230122</v>
      </c>
      <c r="F2180">
        <v>-2426.5700000000002</v>
      </c>
    </row>
    <row r="2181" spans="1:6" x14ac:dyDescent="0.25">
      <c r="A2181" t="s">
        <v>419</v>
      </c>
      <c r="B2181" t="s">
        <v>585</v>
      </c>
      <c r="C2181" s="5" t="str">
        <f>" кв. "&amp;B2181</f>
        <v xml:space="preserve"> кв. 567</v>
      </c>
      <c r="D2181" s="5" t="str">
        <f>CONCATENATE(A2181,C2181)</f>
        <v>Беломорская ул., дом 13 к.1 кв. 567</v>
      </c>
      <c r="E2181" s="3">
        <f>HYPERLINK("https://sao.dolgi.msk.ru/account/1404230974/", 1404230974)</f>
        <v>1404230974</v>
      </c>
      <c r="F2181">
        <v>1157.6600000000001</v>
      </c>
    </row>
    <row r="2182" spans="1:6" hidden="1" x14ac:dyDescent="0.25">
      <c r="A2182" t="s">
        <v>419</v>
      </c>
      <c r="B2182" t="s">
        <v>586</v>
      </c>
      <c r="E2182" s="3">
        <f>HYPERLINK("https://sao.dolgi.msk.ru/account/1404230982/", 1404230982)</f>
        <v>1404230982</v>
      </c>
      <c r="F2182">
        <v>-2671.55</v>
      </c>
    </row>
    <row r="2183" spans="1:6" hidden="1" x14ac:dyDescent="0.25">
      <c r="A2183" t="s">
        <v>419</v>
      </c>
      <c r="B2183" t="s">
        <v>587</v>
      </c>
      <c r="E2183" s="3">
        <f>HYPERLINK("https://sao.dolgi.msk.ru/account/1404228321/", 1404228321)</f>
        <v>1404228321</v>
      </c>
      <c r="F2183">
        <v>-2791.73</v>
      </c>
    </row>
    <row r="2184" spans="1:6" hidden="1" x14ac:dyDescent="0.25">
      <c r="A2184" t="s">
        <v>419</v>
      </c>
      <c r="B2184" t="s">
        <v>588</v>
      </c>
      <c r="E2184" s="3">
        <f>HYPERLINK("https://sao.dolgi.msk.ru/account/1404227441/", 1404227441)</f>
        <v>1404227441</v>
      </c>
      <c r="F2184">
        <v>-1169.3900000000001</v>
      </c>
    </row>
    <row r="2185" spans="1:6" hidden="1" x14ac:dyDescent="0.25">
      <c r="A2185" t="s">
        <v>419</v>
      </c>
      <c r="B2185" t="s">
        <v>589</v>
      </c>
      <c r="E2185" s="3">
        <f>HYPERLINK("https://sao.dolgi.msk.ru/account/1404234115/", 1404234115)</f>
        <v>1404234115</v>
      </c>
      <c r="F2185">
        <v>-1817.52</v>
      </c>
    </row>
    <row r="2186" spans="1:6" hidden="1" x14ac:dyDescent="0.25">
      <c r="A2186" t="s">
        <v>419</v>
      </c>
      <c r="B2186" t="s">
        <v>590</v>
      </c>
      <c r="E2186" s="3">
        <f>HYPERLINK("https://sao.dolgi.msk.ru/account/1404231619/", 1404231619)</f>
        <v>1404231619</v>
      </c>
      <c r="F2186">
        <v>0</v>
      </c>
    </row>
    <row r="2187" spans="1:6" hidden="1" x14ac:dyDescent="0.25">
      <c r="A2187" t="s">
        <v>419</v>
      </c>
      <c r="B2187" t="s">
        <v>591</v>
      </c>
      <c r="E2187" s="3">
        <f>HYPERLINK("https://sao.dolgi.msk.ru/account/1404229922/", 1404229922)</f>
        <v>1404229922</v>
      </c>
      <c r="F2187">
        <v>0</v>
      </c>
    </row>
    <row r="2188" spans="1:6" hidden="1" x14ac:dyDescent="0.25">
      <c r="A2188" t="s">
        <v>419</v>
      </c>
      <c r="B2188" t="s">
        <v>592</v>
      </c>
      <c r="E2188" s="3">
        <f>HYPERLINK("https://sao.dolgi.msk.ru/account/1404233761/", 1404233761)</f>
        <v>1404233761</v>
      </c>
      <c r="F2188">
        <v>0</v>
      </c>
    </row>
    <row r="2189" spans="1:6" hidden="1" x14ac:dyDescent="0.25">
      <c r="A2189" t="s">
        <v>419</v>
      </c>
      <c r="B2189" t="s">
        <v>593</v>
      </c>
      <c r="E2189" s="3">
        <f>HYPERLINK("https://sao.dolgi.msk.ru/account/1404227433/", 1404227433)</f>
        <v>1404227433</v>
      </c>
      <c r="F2189">
        <v>-966.01</v>
      </c>
    </row>
    <row r="2190" spans="1:6" hidden="1" x14ac:dyDescent="0.25">
      <c r="A2190" t="s">
        <v>419</v>
      </c>
      <c r="B2190" t="s">
        <v>593</v>
      </c>
      <c r="E2190" s="3">
        <f>HYPERLINK("https://sao.dolgi.msk.ru/account/1404227468/", 1404227468)</f>
        <v>1404227468</v>
      </c>
      <c r="F2190">
        <v>-483</v>
      </c>
    </row>
    <row r="2191" spans="1:6" hidden="1" x14ac:dyDescent="0.25">
      <c r="A2191" t="s">
        <v>419</v>
      </c>
      <c r="B2191" t="s">
        <v>594</v>
      </c>
      <c r="E2191" s="3">
        <f>HYPERLINK("https://sao.dolgi.msk.ru/account/1404232988/", 1404232988)</f>
        <v>1404232988</v>
      </c>
      <c r="F2191">
        <v>0</v>
      </c>
    </row>
    <row r="2192" spans="1:6" hidden="1" x14ac:dyDescent="0.25">
      <c r="A2192" t="s">
        <v>419</v>
      </c>
      <c r="B2192" t="s">
        <v>595</v>
      </c>
      <c r="E2192" s="3">
        <f>HYPERLINK("https://sao.dolgi.msk.ru/account/1404231889/", 1404231889)</f>
        <v>1404231889</v>
      </c>
      <c r="F2192">
        <v>-2643.82</v>
      </c>
    </row>
    <row r="2193" spans="1:6" hidden="1" x14ac:dyDescent="0.25">
      <c r="A2193" t="s">
        <v>419</v>
      </c>
      <c r="B2193" t="s">
        <v>596</v>
      </c>
      <c r="E2193" s="3">
        <f>HYPERLINK("https://sao.dolgi.msk.ru/account/1404234107/", 1404234107)</f>
        <v>1404234107</v>
      </c>
      <c r="F2193">
        <v>0</v>
      </c>
    </row>
    <row r="2194" spans="1:6" hidden="1" x14ac:dyDescent="0.25">
      <c r="A2194" t="s">
        <v>419</v>
      </c>
      <c r="B2194" t="s">
        <v>597</v>
      </c>
      <c r="E2194" s="3">
        <f>HYPERLINK("https://sao.dolgi.msk.ru/account/1404231862/", 1404231862)</f>
        <v>1404231862</v>
      </c>
      <c r="F2194">
        <v>-2787.11</v>
      </c>
    </row>
    <row r="2195" spans="1:6" hidden="1" x14ac:dyDescent="0.25">
      <c r="A2195" t="s">
        <v>419</v>
      </c>
      <c r="B2195" t="s">
        <v>598</v>
      </c>
      <c r="E2195" s="3">
        <f>HYPERLINK("https://sao.dolgi.msk.ru/account/1404229252/", 1404229252)</f>
        <v>1404229252</v>
      </c>
      <c r="F2195">
        <v>-1932.03</v>
      </c>
    </row>
    <row r="2196" spans="1:6" hidden="1" x14ac:dyDescent="0.25">
      <c r="A2196" t="s">
        <v>419</v>
      </c>
      <c r="B2196" t="s">
        <v>599</v>
      </c>
      <c r="E2196" s="3">
        <f>HYPERLINK("https://sao.dolgi.msk.ru/account/1404231109/", 1404231109)</f>
        <v>1404231109</v>
      </c>
      <c r="F2196">
        <v>-2782.49</v>
      </c>
    </row>
    <row r="2197" spans="1:6" hidden="1" x14ac:dyDescent="0.25">
      <c r="A2197" t="s">
        <v>419</v>
      </c>
      <c r="B2197" t="s">
        <v>600</v>
      </c>
      <c r="E2197" s="3">
        <f>HYPERLINK("https://sao.dolgi.msk.ru/account/1404227476/", 1404227476)</f>
        <v>1404227476</v>
      </c>
      <c r="F2197">
        <v>-1727.97</v>
      </c>
    </row>
    <row r="2198" spans="1:6" hidden="1" x14ac:dyDescent="0.25">
      <c r="A2198" t="s">
        <v>419</v>
      </c>
      <c r="B2198" t="s">
        <v>601</v>
      </c>
      <c r="E2198" s="3">
        <f>HYPERLINK("https://sao.dolgi.msk.ru/account/1404229295/", 1404229295)</f>
        <v>1404229295</v>
      </c>
      <c r="F2198">
        <v>0</v>
      </c>
    </row>
    <row r="2199" spans="1:6" hidden="1" x14ac:dyDescent="0.25">
      <c r="A2199" t="s">
        <v>419</v>
      </c>
      <c r="B2199" t="s">
        <v>602</v>
      </c>
      <c r="E2199" s="3">
        <f>HYPERLINK("https://sao.dolgi.msk.ru/account/1404230165/", 1404230165)</f>
        <v>1404230165</v>
      </c>
      <c r="F2199">
        <v>0</v>
      </c>
    </row>
    <row r="2200" spans="1:6" hidden="1" x14ac:dyDescent="0.25">
      <c r="A2200" t="s">
        <v>419</v>
      </c>
      <c r="B2200" t="s">
        <v>603</v>
      </c>
      <c r="E2200" s="3">
        <f>HYPERLINK("https://sao.dolgi.msk.ru/account/1404234166/", 1404234166)</f>
        <v>1404234166</v>
      </c>
      <c r="F2200">
        <v>-1927.41</v>
      </c>
    </row>
    <row r="2201" spans="1:6" x14ac:dyDescent="0.25">
      <c r="A2201" t="s">
        <v>419</v>
      </c>
      <c r="B2201" t="s">
        <v>604</v>
      </c>
      <c r="C2201" s="5" t="str">
        <f>" кв. "&amp;B2201</f>
        <v xml:space="preserve"> кв. 586</v>
      </c>
      <c r="D2201" s="5" t="str">
        <f>CONCATENATE(A2201,C2201)</f>
        <v>Беломорская ул., дом 13 к.1 кв. 586</v>
      </c>
      <c r="E2201" s="3">
        <f>HYPERLINK("https://sao.dolgi.msk.ru/account/1404228428/", 1404228428)</f>
        <v>1404228428</v>
      </c>
      <c r="F2201">
        <v>952.07</v>
      </c>
    </row>
    <row r="2202" spans="1:6" hidden="1" x14ac:dyDescent="0.25">
      <c r="A2202" t="s">
        <v>419</v>
      </c>
      <c r="B2202" t="s">
        <v>605</v>
      </c>
      <c r="E2202" s="3">
        <f>HYPERLINK("https://sao.dolgi.msk.ru/account/1404234174/", 1404234174)</f>
        <v>1404234174</v>
      </c>
      <c r="F2202">
        <v>-2685.42</v>
      </c>
    </row>
    <row r="2203" spans="1:6" hidden="1" x14ac:dyDescent="0.25">
      <c r="A2203" t="s">
        <v>419</v>
      </c>
      <c r="B2203" t="s">
        <v>606</v>
      </c>
      <c r="E2203" s="3">
        <f>HYPERLINK("https://sao.dolgi.msk.ru/account/1404230173/", 1404230173)</f>
        <v>1404230173</v>
      </c>
      <c r="F2203">
        <v>0</v>
      </c>
    </row>
    <row r="2204" spans="1:6" hidden="1" x14ac:dyDescent="0.25">
      <c r="A2204" t="s">
        <v>419</v>
      </c>
      <c r="B2204" t="s">
        <v>607</v>
      </c>
      <c r="E2204" s="3">
        <f>HYPERLINK("https://sao.dolgi.msk.ru/account/1404231977/", 1404231977)</f>
        <v>1404231977</v>
      </c>
      <c r="F2204">
        <v>0</v>
      </c>
    </row>
    <row r="2205" spans="1:6" x14ac:dyDescent="0.25">
      <c r="A2205" t="s">
        <v>419</v>
      </c>
      <c r="B2205" t="s">
        <v>608</v>
      </c>
      <c r="C2205" s="5" t="str">
        <f>" кв. "&amp;B2205</f>
        <v xml:space="preserve"> кв. 590</v>
      </c>
      <c r="D2205" s="5" t="str">
        <f>CONCATENATE(A2205,C2205)</f>
        <v>Беломорская ул., дом 13 к.1 кв. 590</v>
      </c>
      <c r="E2205" s="3">
        <f>HYPERLINK("https://sao.dolgi.msk.ru/account/1404233059/", 1404233059)</f>
        <v>1404233059</v>
      </c>
      <c r="F2205">
        <v>1325.3</v>
      </c>
    </row>
    <row r="2206" spans="1:6" hidden="1" x14ac:dyDescent="0.25">
      <c r="A2206" t="s">
        <v>419</v>
      </c>
      <c r="B2206" t="s">
        <v>609</v>
      </c>
      <c r="E2206" s="3">
        <f>HYPERLINK("https://sao.dolgi.msk.ru/account/1404230181/", 1404230181)</f>
        <v>1404230181</v>
      </c>
      <c r="F2206">
        <v>0</v>
      </c>
    </row>
    <row r="2207" spans="1:6" hidden="1" x14ac:dyDescent="0.25">
      <c r="A2207" t="s">
        <v>419</v>
      </c>
      <c r="B2207" t="s">
        <v>610</v>
      </c>
      <c r="E2207" s="3">
        <f>HYPERLINK("https://sao.dolgi.msk.ru/account/1404229308/", 1404229308)</f>
        <v>1404229308</v>
      </c>
      <c r="F2207">
        <v>-2007.14</v>
      </c>
    </row>
    <row r="2208" spans="1:6" x14ac:dyDescent="0.25">
      <c r="A2208" t="s">
        <v>419</v>
      </c>
      <c r="B2208" t="s">
        <v>611</v>
      </c>
      <c r="C2208" s="5" t="str">
        <f>" кв. "&amp;B2208</f>
        <v xml:space="preserve"> кв. 593</v>
      </c>
      <c r="D2208" s="5" t="str">
        <f>CONCATENATE(A2208,C2208)</f>
        <v>Беломорская ул., дом 13 к.1 кв. 593</v>
      </c>
      <c r="E2208" s="3">
        <f>HYPERLINK("https://sao.dolgi.msk.ru/account/1404227513/", 1404227513)</f>
        <v>1404227513</v>
      </c>
      <c r="F2208">
        <v>1828.21</v>
      </c>
    </row>
    <row r="2209" spans="1:6" hidden="1" x14ac:dyDescent="0.25">
      <c r="A2209" t="s">
        <v>419</v>
      </c>
      <c r="B2209" t="s">
        <v>612</v>
      </c>
      <c r="E2209" s="3">
        <f>HYPERLINK("https://sao.dolgi.msk.ru/account/1404231985/", 1404231985)</f>
        <v>1404231985</v>
      </c>
      <c r="F2209">
        <v>0</v>
      </c>
    </row>
    <row r="2210" spans="1:6" hidden="1" x14ac:dyDescent="0.25">
      <c r="A2210" t="s">
        <v>419</v>
      </c>
      <c r="B2210" t="s">
        <v>613</v>
      </c>
      <c r="E2210" s="3">
        <f>HYPERLINK("https://sao.dolgi.msk.ru/account/1404231993/", 1404231993)</f>
        <v>1404231993</v>
      </c>
      <c r="F2210">
        <v>0</v>
      </c>
    </row>
    <row r="2211" spans="1:6" hidden="1" x14ac:dyDescent="0.25">
      <c r="A2211" t="s">
        <v>419</v>
      </c>
      <c r="B2211" t="s">
        <v>614</v>
      </c>
      <c r="E2211" s="3">
        <f>HYPERLINK("https://sao.dolgi.msk.ru/account/1404233243/", 1404233243)</f>
        <v>1404233243</v>
      </c>
      <c r="F2211">
        <v>-2763.99</v>
      </c>
    </row>
    <row r="2212" spans="1:6" hidden="1" x14ac:dyDescent="0.25">
      <c r="A2212" t="s">
        <v>419</v>
      </c>
      <c r="B2212" t="s">
        <v>615</v>
      </c>
      <c r="E2212" s="3">
        <f>HYPERLINK("https://sao.dolgi.msk.ru/account/1404233067/", 1404233067)</f>
        <v>1404233067</v>
      </c>
      <c r="F2212">
        <v>-2253.7800000000002</v>
      </c>
    </row>
    <row r="2213" spans="1:6" hidden="1" x14ac:dyDescent="0.25">
      <c r="A2213" t="s">
        <v>419</v>
      </c>
      <c r="B2213" t="s">
        <v>616</v>
      </c>
      <c r="E2213" s="3">
        <f>HYPERLINK("https://sao.dolgi.msk.ru/account/1404229316/", 1404229316)</f>
        <v>1404229316</v>
      </c>
      <c r="F2213">
        <v>0</v>
      </c>
    </row>
    <row r="2214" spans="1:6" x14ac:dyDescent="0.25">
      <c r="A2214" t="s">
        <v>419</v>
      </c>
      <c r="B2214" t="s">
        <v>617</v>
      </c>
      <c r="C2214" s="5" t="str">
        <f t="shared" ref="C2214:C2215" si="88">" кв. "&amp;B2214</f>
        <v xml:space="preserve"> кв. 599</v>
      </c>
      <c r="D2214" s="5" t="str">
        <f>CONCATENATE(A2214,C2214)</f>
        <v>Беломорская ул., дом 13 к.1 кв. 599</v>
      </c>
      <c r="E2214" s="3">
        <f>HYPERLINK("https://sao.dolgi.msk.ru/account/1404232953/", 1404232953)</f>
        <v>1404232953</v>
      </c>
      <c r="F2214">
        <v>1423.35</v>
      </c>
    </row>
    <row r="2215" spans="1:6" x14ac:dyDescent="0.25">
      <c r="A2215" t="s">
        <v>419</v>
      </c>
      <c r="B2215" t="s">
        <v>618</v>
      </c>
      <c r="C2215" s="5" t="str">
        <f t="shared" si="88"/>
        <v xml:space="preserve"> кв. 600</v>
      </c>
      <c r="D2215" s="5" t="str">
        <f>CONCATENATE(A2215,C2215)</f>
        <v>Беломорская ул., дом 13 к.1 кв. 600</v>
      </c>
      <c r="E2215" s="3">
        <f>HYPERLINK("https://sao.dolgi.msk.ru/account/1404231061/", 1404231061)</f>
        <v>1404231061</v>
      </c>
      <c r="F2215">
        <v>1325.3</v>
      </c>
    </row>
    <row r="2216" spans="1:6" hidden="1" x14ac:dyDescent="0.25">
      <c r="A2216" t="s">
        <v>419</v>
      </c>
      <c r="B2216" t="s">
        <v>619</v>
      </c>
      <c r="E2216" s="3">
        <f>HYPERLINK("https://sao.dolgi.msk.ru/account/1404234182/", 1404234182)</f>
        <v>1404234182</v>
      </c>
      <c r="F2216">
        <v>-1485.41</v>
      </c>
    </row>
    <row r="2217" spans="1:6" hidden="1" x14ac:dyDescent="0.25">
      <c r="A2217" t="s">
        <v>419</v>
      </c>
      <c r="B2217" t="s">
        <v>620</v>
      </c>
      <c r="E2217" s="3">
        <f>HYPERLINK("https://sao.dolgi.msk.ru/account/1404233788/", 1404233788)</f>
        <v>1404233788</v>
      </c>
      <c r="F2217">
        <v>-2671.55</v>
      </c>
    </row>
    <row r="2218" spans="1:6" hidden="1" x14ac:dyDescent="0.25">
      <c r="A2218" t="s">
        <v>419</v>
      </c>
      <c r="B2218" t="s">
        <v>621</v>
      </c>
      <c r="E2218" s="3">
        <f>HYPERLINK("https://sao.dolgi.msk.ru/account/1404227214/", 1404227214)</f>
        <v>1404227214</v>
      </c>
      <c r="F2218">
        <v>0</v>
      </c>
    </row>
    <row r="2219" spans="1:6" hidden="1" x14ac:dyDescent="0.25">
      <c r="A2219" t="s">
        <v>419</v>
      </c>
      <c r="B2219" t="s">
        <v>622</v>
      </c>
      <c r="E2219" s="3">
        <f>HYPERLINK("https://sao.dolgi.msk.ru/account/1404229017/", 1404229017)</f>
        <v>1404229017</v>
      </c>
      <c r="F2219">
        <v>-2791.73</v>
      </c>
    </row>
    <row r="2220" spans="1:6" x14ac:dyDescent="0.25">
      <c r="A2220" t="s">
        <v>419</v>
      </c>
      <c r="B2220" t="s">
        <v>623</v>
      </c>
      <c r="C2220" s="5" t="str">
        <f t="shared" ref="C2220:C2222" si="89">" кв. "&amp;B2220</f>
        <v xml:space="preserve"> кв. 605</v>
      </c>
      <c r="D2220" s="5" t="str">
        <f>CONCATENATE(A2220,C2220)</f>
        <v>Беломорская ул., дом 13 к.1 кв. 605</v>
      </c>
      <c r="E2220" s="3">
        <f>HYPERLINK("https://sao.dolgi.msk.ru/account/1404230747/", 1404230747)</f>
        <v>1404230747</v>
      </c>
      <c r="F2220">
        <v>1331.62</v>
      </c>
    </row>
    <row r="2221" spans="1:6" x14ac:dyDescent="0.25">
      <c r="A2221" t="s">
        <v>419</v>
      </c>
      <c r="B2221" t="s">
        <v>624</v>
      </c>
      <c r="C2221" s="5" t="str">
        <f t="shared" si="89"/>
        <v xml:space="preserve"> кв. 606</v>
      </c>
      <c r="D2221" s="5" t="str">
        <f>CONCATENATE(A2221,C2221)</f>
        <v>Беломорская ул., дом 13 к.1 кв. 606</v>
      </c>
      <c r="E2221" s="3">
        <f>HYPERLINK("https://sao.dolgi.msk.ru/account/1404230712/", 1404230712)</f>
        <v>1404230712</v>
      </c>
      <c r="F2221">
        <v>1280</v>
      </c>
    </row>
    <row r="2222" spans="1:6" x14ac:dyDescent="0.25">
      <c r="A2222" t="s">
        <v>419</v>
      </c>
      <c r="B2222" t="s">
        <v>624</v>
      </c>
      <c r="C2222" s="5" t="str">
        <f t="shared" si="89"/>
        <v xml:space="preserve"> кв. 606</v>
      </c>
      <c r="D2222" s="5" t="str">
        <f>CONCATENATE(A2222,C2222)</f>
        <v>Беломорская ул., дом 13 к.1 кв. 606</v>
      </c>
      <c r="E2222" s="3">
        <f>HYPERLINK("https://sao.dolgi.msk.ru/account/1404231897/", 1404231897)</f>
        <v>1404231897</v>
      </c>
      <c r="F2222">
        <v>630.45000000000005</v>
      </c>
    </row>
    <row r="2223" spans="1:6" hidden="1" x14ac:dyDescent="0.25">
      <c r="A2223" t="s">
        <v>419</v>
      </c>
      <c r="B2223" t="s">
        <v>625</v>
      </c>
      <c r="E2223" s="3">
        <f>HYPERLINK("https://sao.dolgi.msk.ru/account/1404230739/", 1404230739)</f>
        <v>1404230739</v>
      </c>
      <c r="F2223">
        <v>-2253.7800000000002</v>
      </c>
    </row>
    <row r="2224" spans="1:6" x14ac:dyDescent="0.25">
      <c r="A2224" t="s">
        <v>419</v>
      </c>
      <c r="B2224" t="s">
        <v>626</v>
      </c>
      <c r="C2224" s="5" t="str">
        <f t="shared" ref="C2224:C2225" si="90">" кв. "&amp;B2224</f>
        <v xml:space="preserve"> кв. 608</v>
      </c>
      <c r="D2224" s="5" t="str">
        <f>CONCATENATE(A2224,C2224)</f>
        <v>Беломорская ул., дом 13 к.1 кв. 608</v>
      </c>
      <c r="E2224" s="3">
        <f>HYPERLINK("https://sao.dolgi.msk.ru/account/1404232603/", 1404232603)</f>
        <v>1404232603</v>
      </c>
      <c r="F2224">
        <v>1844.03</v>
      </c>
    </row>
    <row r="2225" spans="1:6" x14ac:dyDescent="0.25">
      <c r="A2225" t="s">
        <v>419</v>
      </c>
      <c r="B2225" t="s">
        <v>627</v>
      </c>
      <c r="C2225" s="5" t="str">
        <f t="shared" si="90"/>
        <v xml:space="preserve"> кв. 609</v>
      </c>
      <c r="D2225" s="5" t="str">
        <f>CONCATENATE(A2225,C2225)</f>
        <v>Беломорская ул., дом 13 к.1 кв. 609</v>
      </c>
      <c r="E2225" s="3">
        <f>HYPERLINK("https://sao.dolgi.msk.ru/account/1404233796/", 1404233796)</f>
        <v>1404233796</v>
      </c>
      <c r="F2225">
        <v>1243.06</v>
      </c>
    </row>
    <row r="2226" spans="1:6" hidden="1" x14ac:dyDescent="0.25">
      <c r="A2226" t="s">
        <v>419</v>
      </c>
      <c r="B2226" t="s">
        <v>628</v>
      </c>
      <c r="E2226" s="3">
        <f>HYPERLINK("https://sao.dolgi.msk.ru/account/1404229279/", 1404229279)</f>
        <v>1404229279</v>
      </c>
      <c r="F2226">
        <v>-1927.41</v>
      </c>
    </row>
    <row r="2227" spans="1:6" x14ac:dyDescent="0.25">
      <c r="A2227" t="s">
        <v>419</v>
      </c>
      <c r="B2227" t="s">
        <v>629</v>
      </c>
      <c r="C2227" s="5" t="str">
        <f t="shared" ref="C2227:C2228" si="91">" кв. "&amp;B2227</f>
        <v xml:space="preserve"> кв. 611</v>
      </c>
      <c r="D2227" s="5" t="str">
        <f>CONCATENATE(A2227,C2227)</f>
        <v>Беломорская ул., дом 13 к.1 кв. 611</v>
      </c>
      <c r="E2227" s="3">
        <f>HYPERLINK("https://sao.dolgi.msk.ru/account/1404232611/", 1404232611)</f>
        <v>1404232611</v>
      </c>
      <c r="F2227">
        <v>1897.8</v>
      </c>
    </row>
    <row r="2228" spans="1:6" x14ac:dyDescent="0.25">
      <c r="A2228" t="s">
        <v>419</v>
      </c>
      <c r="B2228" t="s">
        <v>630</v>
      </c>
      <c r="C2228" s="5" t="str">
        <f t="shared" si="91"/>
        <v xml:space="preserve"> кв. 612</v>
      </c>
      <c r="D2228" s="5" t="str">
        <f>CONCATENATE(A2228,C2228)</f>
        <v>Беломорская ул., дом 13 к.1 кв. 612</v>
      </c>
      <c r="E2228" s="3">
        <f>HYPERLINK("https://sao.dolgi.msk.ru/account/1404227249/", 1404227249)</f>
        <v>1404227249</v>
      </c>
      <c r="F2228">
        <v>1828.21</v>
      </c>
    </row>
    <row r="2229" spans="1:6" hidden="1" x14ac:dyDescent="0.25">
      <c r="A2229" t="s">
        <v>419</v>
      </c>
      <c r="B2229" t="s">
        <v>631</v>
      </c>
      <c r="E2229" s="3">
        <f>HYPERLINK("https://sao.dolgi.msk.ru/account/1404232638/", 1404232638)</f>
        <v>1404232638</v>
      </c>
      <c r="F2229">
        <v>-2690.05</v>
      </c>
    </row>
    <row r="2230" spans="1:6" hidden="1" x14ac:dyDescent="0.25">
      <c r="A2230" t="s">
        <v>419</v>
      </c>
      <c r="B2230" t="s">
        <v>632</v>
      </c>
      <c r="E2230" s="3">
        <f>HYPERLINK("https://sao.dolgi.msk.ru/account/1404231627/", 1404231627)</f>
        <v>1404231627</v>
      </c>
      <c r="F2230">
        <v>-2791.73</v>
      </c>
    </row>
    <row r="2231" spans="1:6" x14ac:dyDescent="0.25">
      <c r="A2231" t="s">
        <v>419</v>
      </c>
      <c r="B2231" t="s">
        <v>633</v>
      </c>
      <c r="C2231" s="5" t="str">
        <f>" кв. "&amp;B2231</f>
        <v xml:space="preserve"> кв. 615</v>
      </c>
      <c r="D2231" s="5" t="str">
        <f>CONCATENATE(A2231,C2231)</f>
        <v>Беломорская ул., дом 13 к.1 кв. 615</v>
      </c>
      <c r="E2231" s="3">
        <f>HYPERLINK("https://sao.dolgi.msk.ru/account/1404233825/", 1404233825)</f>
        <v>1404233825</v>
      </c>
      <c r="F2231">
        <v>1318.97</v>
      </c>
    </row>
    <row r="2232" spans="1:6" hidden="1" x14ac:dyDescent="0.25">
      <c r="A2232" t="s">
        <v>419</v>
      </c>
      <c r="B2232" t="s">
        <v>634</v>
      </c>
      <c r="E2232" s="3">
        <f>HYPERLINK("https://sao.dolgi.msk.ru/account/1404229025/", 1404229025)</f>
        <v>1404229025</v>
      </c>
      <c r="F2232">
        <v>-2787.11</v>
      </c>
    </row>
    <row r="2233" spans="1:6" x14ac:dyDescent="0.25">
      <c r="A2233" t="s">
        <v>419</v>
      </c>
      <c r="B2233" t="s">
        <v>635</v>
      </c>
      <c r="C2233" s="5" t="str">
        <f>" кв. "&amp;B2233</f>
        <v xml:space="preserve"> кв. 617</v>
      </c>
      <c r="D2233" s="5" t="str">
        <f>CONCATENATE(A2233,C2233)</f>
        <v>Беломорская ул., дом 13 к.1 кв. 617</v>
      </c>
      <c r="E2233" s="3">
        <f>HYPERLINK("https://sao.dolgi.msk.ru/account/1404226991/", 1404226991)</f>
        <v>1404226991</v>
      </c>
      <c r="F2233">
        <v>1834.54</v>
      </c>
    </row>
    <row r="2234" spans="1:6" hidden="1" x14ac:dyDescent="0.25">
      <c r="A2234" t="s">
        <v>419</v>
      </c>
      <c r="B2234" t="s">
        <v>636</v>
      </c>
      <c r="E2234" s="3">
        <f>HYPERLINK("https://sao.dolgi.msk.ru/account/1404233809/", 1404233809)</f>
        <v>1404233809</v>
      </c>
      <c r="F2234">
        <v>-2671.55</v>
      </c>
    </row>
    <row r="2235" spans="1:6" hidden="1" x14ac:dyDescent="0.25">
      <c r="A2235" t="s">
        <v>419</v>
      </c>
      <c r="B2235" t="s">
        <v>637</v>
      </c>
      <c r="E2235" s="3">
        <f>HYPERLINK("https://sao.dolgi.msk.ru/account/1404227222/", 1404227222)</f>
        <v>1404227222</v>
      </c>
      <c r="F2235">
        <v>-2787.11</v>
      </c>
    </row>
    <row r="2236" spans="1:6" hidden="1" x14ac:dyDescent="0.25">
      <c r="A2236" t="s">
        <v>419</v>
      </c>
      <c r="B2236" t="s">
        <v>638</v>
      </c>
      <c r="E2236" s="3">
        <f>HYPERLINK("https://sao.dolgi.msk.ru/account/1404228129/", 1404228129)</f>
        <v>1404228129</v>
      </c>
      <c r="F2236">
        <v>-1936.64</v>
      </c>
    </row>
    <row r="2237" spans="1:6" hidden="1" x14ac:dyDescent="0.25">
      <c r="A2237" t="s">
        <v>419</v>
      </c>
      <c r="B2237" t="s">
        <v>639</v>
      </c>
      <c r="E2237" s="3">
        <f>HYPERLINK("https://sao.dolgi.msk.ru/account/1404232937/", 1404232937)</f>
        <v>1404232937</v>
      </c>
      <c r="F2237">
        <v>-2567.15</v>
      </c>
    </row>
    <row r="2238" spans="1:6" hidden="1" x14ac:dyDescent="0.25">
      <c r="A2238" t="s">
        <v>419</v>
      </c>
      <c r="B2238" t="s">
        <v>640</v>
      </c>
      <c r="E2238" s="3">
        <f>HYPERLINK("https://sao.dolgi.msk.ru/account/1404233817/", 1404233817)</f>
        <v>1404233817</v>
      </c>
      <c r="F2238">
        <v>-2680.8</v>
      </c>
    </row>
    <row r="2239" spans="1:6" hidden="1" x14ac:dyDescent="0.25">
      <c r="A2239" t="s">
        <v>641</v>
      </c>
      <c r="B2239" t="s">
        <v>5</v>
      </c>
      <c r="E2239" s="3">
        <f>HYPERLINK("https://sao.dolgi.msk.ru/account/1404235716/", 1404235716)</f>
        <v>1404235716</v>
      </c>
      <c r="F2239">
        <v>0</v>
      </c>
    </row>
    <row r="2240" spans="1:6" x14ac:dyDescent="0.25">
      <c r="A2240" t="s">
        <v>641</v>
      </c>
      <c r="B2240" t="s">
        <v>6</v>
      </c>
      <c r="C2240" s="5" t="str">
        <f>" кв. "&amp;B2240</f>
        <v xml:space="preserve"> кв. 2</v>
      </c>
      <c r="D2240" s="5" t="str">
        <f>CONCATENATE(A2240,C2240)</f>
        <v>Беломорская ул., дом 13 к.2 кв. 2</v>
      </c>
      <c r="E2240" s="3">
        <f>HYPERLINK("https://sao.dolgi.msk.ru/account/1404234756/", 1404234756)</f>
        <v>1404234756</v>
      </c>
      <c r="F2240">
        <v>1009.65</v>
      </c>
    </row>
    <row r="2241" spans="1:6" hidden="1" x14ac:dyDescent="0.25">
      <c r="A2241" t="s">
        <v>641</v>
      </c>
      <c r="B2241" t="s">
        <v>7</v>
      </c>
      <c r="E2241" s="3">
        <f>HYPERLINK("https://sao.dolgi.msk.ru/account/1404235273/", 1404235273)</f>
        <v>1404235273</v>
      </c>
      <c r="F2241">
        <v>-1569.66</v>
      </c>
    </row>
    <row r="2242" spans="1:6" hidden="1" x14ac:dyDescent="0.25">
      <c r="A2242" t="s">
        <v>641</v>
      </c>
      <c r="B2242" t="s">
        <v>8</v>
      </c>
      <c r="E2242" s="3">
        <f>HYPERLINK("https://sao.dolgi.msk.ru/account/1404236188/", 1404236188)</f>
        <v>1404236188</v>
      </c>
      <c r="F2242">
        <v>-2449.69</v>
      </c>
    </row>
    <row r="2243" spans="1:6" hidden="1" x14ac:dyDescent="0.25">
      <c r="A2243" t="s">
        <v>641</v>
      </c>
      <c r="B2243" t="s">
        <v>9</v>
      </c>
      <c r="E2243" s="3">
        <f>HYPERLINK("https://sao.dolgi.msk.ru/account/1404235433/", 1404235433)</f>
        <v>1404235433</v>
      </c>
      <c r="F2243">
        <v>-1490.83</v>
      </c>
    </row>
    <row r="2244" spans="1:6" hidden="1" x14ac:dyDescent="0.25">
      <c r="A2244" t="s">
        <v>641</v>
      </c>
      <c r="B2244" t="s">
        <v>10</v>
      </c>
      <c r="E2244" s="3">
        <f>HYPERLINK("https://sao.dolgi.msk.ru/account/1404235839/", 1404235839)</f>
        <v>1404235839</v>
      </c>
      <c r="F2244">
        <v>0</v>
      </c>
    </row>
    <row r="2245" spans="1:6" x14ac:dyDescent="0.25">
      <c r="A2245" t="s">
        <v>641</v>
      </c>
      <c r="B2245" t="s">
        <v>11</v>
      </c>
      <c r="C2245" s="5" t="str">
        <f t="shared" ref="C2245:C2246" si="92">" кв. "&amp;B2245</f>
        <v xml:space="preserve"> кв. 7</v>
      </c>
      <c r="D2245" s="5" t="str">
        <f>CONCATENATE(A2245,C2245)</f>
        <v>Беломорская ул., дом 13 к.2 кв. 7</v>
      </c>
      <c r="E2245" s="3">
        <f>HYPERLINK("https://sao.dolgi.msk.ru/account/1404235468/", 1404235468)</f>
        <v>1404235468</v>
      </c>
      <c r="F2245">
        <v>1685.88</v>
      </c>
    </row>
    <row r="2246" spans="1:6" x14ac:dyDescent="0.25">
      <c r="A2246" t="s">
        <v>641</v>
      </c>
      <c r="B2246" t="s">
        <v>12</v>
      </c>
      <c r="C2246" s="5" t="str">
        <f t="shared" si="92"/>
        <v xml:space="preserve"> кв. 8</v>
      </c>
      <c r="D2246" s="5" t="str">
        <f>CONCATENATE(A2246,C2246)</f>
        <v>Беломорская ул., дом 13 к.2 кв. 8</v>
      </c>
      <c r="E2246" s="3">
        <f>HYPERLINK("https://sao.dolgi.msk.ru/account/1404235898/", 1404235898)</f>
        <v>1404235898</v>
      </c>
      <c r="F2246">
        <v>839.77</v>
      </c>
    </row>
    <row r="2247" spans="1:6" hidden="1" x14ac:dyDescent="0.25">
      <c r="A2247" t="s">
        <v>641</v>
      </c>
      <c r="B2247" t="s">
        <v>13</v>
      </c>
      <c r="E2247" s="3">
        <f>HYPERLINK("https://sao.dolgi.msk.ru/account/1404235011/", 1404235011)</f>
        <v>1404235011</v>
      </c>
      <c r="F2247">
        <v>-1486.95</v>
      </c>
    </row>
    <row r="2248" spans="1:6" hidden="1" x14ac:dyDescent="0.25">
      <c r="A2248" t="s">
        <v>641</v>
      </c>
      <c r="B2248" t="s">
        <v>14</v>
      </c>
      <c r="E2248" s="3">
        <f>HYPERLINK("https://sao.dolgi.msk.ru/account/1404234721/", 1404234721)</f>
        <v>1404234721</v>
      </c>
      <c r="F2248">
        <v>0</v>
      </c>
    </row>
    <row r="2249" spans="1:6" x14ac:dyDescent="0.25">
      <c r="A2249" t="s">
        <v>641</v>
      </c>
      <c r="B2249" t="s">
        <v>15</v>
      </c>
      <c r="C2249" s="5" t="str">
        <f>" кв. "&amp;B2249</f>
        <v xml:space="preserve"> кв. 11</v>
      </c>
      <c r="D2249" s="5" t="str">
        <f>CONCATENATE(A2249,C2249)</f>
        <v>Беломорская ул., дом 13 к.2 кв. 11</v>
      </c>
      <c r="E2249" s="3">
        <f>HYPERLINK("https://sao.dolgi.msk.ru/account/1404234545/", 1404234545)</f>
        <v>1404234545</v>
      </c>
      <c r="F2249">
        <v>1682.72</v>
      </c>
    </row>
    <row r="2250" spans="1:6" hidden="1" x14ac:dyDescent="0.25">
      <c r="A2250" t="s">
        <v>641</v>
      </c>
      <c r="B2250" t="s">
        <v>16</v>
      </c>
      <c r="E2250" s="3">
        <f>HYPERLINK("https://sao.dolgi.msk.ru/account/1404235564/", 1404235564)</f>
        <v>1404235564</v>
      </c>
      <c r="F2250">
        <v>0</v>
      </c>
    </row>
    <row r="2251" spans="1:6" hidden="1" x14ac:dyDescent="0.25">
      <c r="A2251" t="s">
        <v>641</v>
      </c>
      <c r="B2251" t="s">
        <v>16</v>
      </c>
      <c r="E2251" s="3">
        <f>HYPERLINK("https://sao.dolgi.msk.ru/account/1404236081/", 1404236081)</f>
        <v>1404236081</v>
      </c>
      <c r="F2251">
        <v>0</v>
      </c>
    </row>
    <row r="2252" spans="1:6" hidden="1" x14ac:dyDescent="0.25">
      <c r="A2252" t="s">
        <v>641</v>
      </c>
      <c r="B2252" t="s">
        <v>17</v>
      </c>
      <c r="E2252" s="3">
        <f>HYPERLINK("https://sao.dolgi.msk.ru/account/1404235193/", 1404235193)</f>
        <v>1404235193</v>
      </c>
      <c r="F2252">
        <v>-558.82000000000005</v>
      </c>
    </row>
    <row r="2253" spans="1:6" x14ac:dyDescent="0.25">
      <c r="A2253" t="s">
        <v>641</v>
      </c>
      <c r="B2253" t="s">
        <v>18</v>
      </c>
      <c r="C2253" s="5" t="str">
        <f>" кв. "&amp;B2253</f>
        <v xml:space="preserve"> кв. 14</v>
      </c>
      <c r="D2253" s="5" t="str">
        <f>CONCATENATE(A2253,C2253)</f>
        <v>Беломорская ул., дом 13 к.2 кв. 14</v>
      </c>
      <c r="E2253" s="3">
        <f>HYPERLINK("https://sao.dolgi.msk.ru/account/1404235708/", 1404235708)</f>
        <v>1404235708</v>
      </c>
      <c r="F2253">
        <v>1208.27</v>
      </c>
    </row>
    <row r="2254" spans="1:6" hidden="1" x14ac:dyDescent="0.25">
      <c r="A2254" t="s">
        <v>641</v>
      </c>
      <c r="B2254" t="s">
        <v>19</v>
      </c>
      <c r="E2254" s="3">
        <f>HYPERLINK("https://sao.dolgi.msk.ru/account/1404235871/", 1404235871)</f>
        <v>1404235871</v>
      </c>
      <c r="F2254">
        <v>0</v>
      </c>
    </row>
    <row r="2255" spans="1:6" x14ac:dyDescent="0.25">
      <c r="A2255" t="s">
        <v>641</v>
      </c>
      <c r="B2255" t="s">
        <v>20</v>
      </c>
      <c r="C2255" s="5" t="str">
        <f t="shared" ref="C2255:C2256" si="93">" кв. "&amp;B2255</f>
        <v xml:space="preserve"> кв. 16</v>
      </c>
      <c r="D2255" s="5" t="str">
        <f>CONCATENATE(A2255,C2255)</f>
        <v>Беломорская ул., дом 13 к.2 кв. 16</v>
      </c>
      <c r="E2255" s="3">
        <f>HYPERLINK("https://sao.dolgi.msk.ru/account/1404234959/", 1404234959)</f>
        <v>1404234959</v>
      </c>
      <c r="F2255">
        <v>1012.16</v>
      </c>
    </row>
    <row r="2256" spans="1:6" x14ac:dyDescent="0.25">
      <c r="A2256" t="s">
        <v>641</v>
      </c>
      <c r="B2256" t="s">
        <v>21</v>
      </c>
      <c r="C2256" s="5" t="str">
        <f t="shared" si="93"/>
        <v xml:space="preserve"> кв. 17</v>
      </c>
      <c r="D2256" s="5" t="str">
        <f>CONCATENATE(A2256,C2256)</f>
        <v>Беломорская ул., дом 13 к.2 кв. 17</v>
      </c>
      <c r="E2256" s="3">
        <f>HYPERLINK("https://sao.dolgi.msk.ru/account/1404234967/", 1404234967)</f>
        <v>1404234967</v>
      </c>
      <c r="F2256">
        <v>1208.27</v>
      </c>
    </row>
    <row r="2257" spans="1:6" hidden="1" x14ac:dyDescent="0.25">
      <c r="A2257" t="s">
        <v>641</v>
      </c>
      <c r="B2257" t="s">
        <v>22</v>
      </c>
      <c r="E2257" s="3">
        <f>HYPERLINK("https://sao.dolgi.msk.ru/account/1404234975/", 1404234975)</f>
        <v>1404234975</v>
      </c>
      <c r="F2257">
        <v>-1765.63</v>
      </c>
    </row>
    <row r="2258" spans="1:6" hidden="1" x14ac:dyDescent="0.25">
      <c r="A2258" t="s">
        <v>641</v>
      </c>
      <c r="B2258" t="s">
        <v>23</v>
      </c>
      <c r="E2258" s="3">
        <f>HYPERLINK("https://sao.dolgi.msk.ru/account/1404235214/", 1404235214)</f>
        <v>1404235214</v>
      </c>
      <c r="F2258">
        <v>-2449.69</v>
      </c>
    </row>
    <row r="2259" spans="1:6" hidden="1" x14ac:dyDescent="0.25">
      <c r="A2259" t="s">
        <v>641</v>
      </c>
      <c r="B2259" t="s">
        <v>24</v>
      </c>
      <c r="E2259" s="3">
        <f>HYPERLINK("https://sao.dolgi.msk.ru/account/1404236022/", 1404236022)</f>
        <v>1404236022</v>
      </c>
      <c r="F2259">
        <v>0</v>
      </c>
    </row>
    <row r="2260" spans="1:6" hidden="1" x14ac:dyDescent="0.25">
      <c r="A2260" t="s">
        <v>641</v>
      </c>
      <c r="B2260" t="s">
        <v>25</v>
      </c>
      <c r="E2260" s="3">
        <f>HYPERLINK("https://sao.dolgi.msk.ru/account/1404234764/", 1404234764)</f>
        <v>1404234764</v>
      </c>
      <c r="F2260">
        <v>-965.05</v>
      </c>
    </row>
    <row r="2261" spans="1:6" hidden="1" x14ac:dyDescent="0.25">
      <c r="A2261" t="s">
        <v>641</v>
      </c>
      <c r="B2261" t="s">
        <v>26</v>
      </c>
      <c r="E2261" s="3">
        <f>HYPERLINK("https://sao.dolgi.msk.ru/account/1404234772/", 1404234772)</f>
        <v>1404234772</v>
      </c>
      <c r="F2261">
        <v>0</v>
      </c>
    </row>
    <row r="2262" spans="1:6" hidden="1" x14ac:dyDescent="0.25">
      <c r="A2262" t="s">
        <v>641</v>
      </c>
      <c r="B2262" t="s">
        <v>27</v>
      </c>
      <c r="E2262" s="3">
        <f>HYPERLINK("https://sao.dolgi.msk.ru/account/1404235257/", 1404235257)</f>
        <v>1404235257</v>
      </c>
      <c r="F2262">
        <v>0</v>
      </c>
    </row>
    <row r="2263" spans="1:6" x14ac:dyDescent="0.25">
      <c r="A2263" t="s">
        <v>641</v>
      </c>
      <c r="B2263" t="s">
        <v>28</v>
      </c>
      <c r="C2263" s="5" t="str">
        <f>" кв. "&amp;B2263</f>
        <v xml:space="preserve"> кв. 24</v>
      </c>
      <c r="D2263" s="5" t="str">
        <f>CONCATENATE(A2263,C2263)</f>
        <v>Беломорская ул., дом 13 к.2 кв. 24</v>
      </c>
      <c r="E2263" s="3">
        <f>HYPERLINK("https://sao.dolgi.msk.ru/account/1404235732/", 1404235732)</f>
        <v>1404235732</v>
      </c>
      <c r="F2263">
        <v>1685.88</v>
      </c>
    </row>
    <row r="2264" spans="1:6" hidden="1" x14ac:dyDescent="0.25">
      <c r="A2264" t="s">
        <v>641</v>
      </c>
      <c r="B2264" t="s">
        <v>29</v>
      </c>
      <c r="E2264" s="3">
        <f>HYPERLINK("https://sao.dolgi.msk.ru/account/1404235943/", 1404235943)</f>
        <v>1404235943</v>
      </c>
      <c r="F2264">
        <v>-280.86</v>
      </c>
    </row>
    <row r="2265" spans="1:6" hidden="1" x14ac:dyDescent="0.25">
      <c r="A2265" t="s">
        <v>641</v>
      </c>
      <c r="B2265" t="s">
        <v>30</v>
      </c>
      <c r="E2265" s="3">
        <f>HYPERLINK("https://sao.dolgi.msk.ru/account/1404235396/", 1404235396)</f>
        <v>1404235396</v>
      </c>
      <c r="F2265">
        <v>-1770.25</v>
      </c>
    </row>
    <row r="2266" spans="1:6" hidden="1" x14ac:dyDescent="0.25">
      <c r="A2266" t="s">
        <v>641</v>
      </c>
      <c r="B2266" t="s">
        <v>31</v>
      </c>
      <c r="E2266" s="3">
        <f>HYPERLINK("https://sao.dolgi.msk.ru/account/1404235265/", 1404235265)</f>
        <v>1404235265</v>
      </c>
      <c r="F2266">
        <v>-2449.69</v>
      </c>
    </row>
    <row r="2267" spans="1:6" hidden="1" x14ac:dyDescent="0.25">
      <c r="A2267" t="s">
        <v>641</v>
      </c>
      <c r="B2267" t="s">
        <v>32</v>
      </c>
      <c r="E2267" s="3">
        <f>HYPERLINK("https://sao.dolgi.msk.ru/account/1404235759/", 1404235759)</f>
        <v>1404235759</v>
      </c>
      <c r="F2267">
        <v>0</v>
      </c>
    </row>
    <row r="2268" spans="1:6" x14ac:dyDescent="0.25">
      <c r="A2268" t="s">
        <v>641</v>
      </c>
      <c r="B2268" t="s">
        <v>33</v>
      </c>
      <c r="C2268" s="5" t="str">
        <f>" кв. "&amp;B2268</f>
        <v xml:space="preserve"> кв. 29</v>
      </c>
      <c r="D2268" s="5" t="str">
        <f>CONCATENATE(A2268,C2268)</f>
        <v>Беломорская ул., дом 13 к.2 кв. 29</v>
      </c>
      <c r="E2268" s="3">
        <f>HYPERLINK("https://sao.dolgi.msk.ru/account/1404234799/", 1404234799)</f>
        <v>1404234799</v>
      </c>
      <c r="F2268">
        <v>604.14</v>
      </c>
    </row>
    <row r="2269" spans="1:6" hidden="1" x14ac:dyDescent="0.25">
      <c r="A2269" t="s">
        <v>641</v>
      </c>
      <c r="B2269" t="s">
        <v>34</v>
      </c>
      <c r="E2269" s="3">
        <f>HYPERLINK("https://sao.dolgi.msk.ru/account/1404235951/", 1404235951)</f>
        <v>1404235951</v>
      </c>
      <c r="F2269">
        <v>0</v>
      </c>
    </row>
    <row r="2270" spans="1:6" hidden="1" x14ac:dyDescent="0.25">
      <c r="A2270" t="s">
        <v>641</v>
      </c>
      <c r="B2270" t="s">
        <v>35</v>
      </c>
      <c r="E2270" s="3">
        <f>HYPERLINK("https://sao.dolgi.msk.ru/account/1404235978/", 1404235978)</f>
        <v>1404235978</v>
      </c>
      <c r="F2270">
        <v>-2063.0300000000002</v>
      </c>
    </row>
    <row r="2271" spans="1:6" hidden="1" x14ac:dyDescent="0.25">
      <c r="A2271" t="s">
        <v>641</v>
      </c>
      <c r="B2271" t="s">
        <v>36</v>
      </c>
      <c r="E2271" s="3">
        <f>HYPERLINK("https://sao.dolgi.msk.ru/account/1404235767/", 1404235767)</f>
        <v>1404235767</v>
      </c>
      <c r="F2271">
        <v>-2454.31</v>
      </c>
    </row>
    <row r="2272" spans="1:6" hidden="1" x14ac:dyDescent="0.25">
      <c r="A2272" t="s">
        <v>641</v>
      </c>
      <c r="B2272" t="s">
        <v>37</v>
      </c>
      <c r="E2272" s="3">
        <f>HYPERLINK("https://sao.dolgi.msk.ru/account/1404236161/", 1404236161)</f>
        <v>1404236161</v>
      </c>
      <c r="F2272">
        <v>-1770.25</v>
      </c>
    </row>
    <row r="2273" spans="1:6" hidden="1" x14ac:dyDescent="0.25">
      <c r="A2273" t="s">
        <v>641</v>
      </c>
      <c r="B2273" t="s">
        <v>38</v>
      </c>
      <c r="E2273" s="3">
        <f>HYPERLINK("https://sao.dolgi.msk.ru/account/1404235409/", 1404235409)</f>
        <v>1404235409</v>
      </c>
      <c r="F2273">
        <v>-1016.86</v>
      </c>
    </row>
    <row r="2274" spans="1:6" hidden="1" x14ac:dyDescent="0.25">
      <c r="A2274" t="s">
        <v>641</v>
      </c>
      <c r="B2274" t="s">
        <v>39</v>
      </c>
      <c r="E2274" s="3">
        <f>HYPERLINK("https://sao.dolgi.msk.ru/account/1404235775/", 1404235775)</f>
        <v>1404235775</v>
      </c>
      <c r="F2274">
        <v>-1553.97</v>
      </c>
    </row>
    <row r="2275" spans="1:6" hidden="1" x14ac:dyDescent="0.25">
      <c r="A2275" t="s">
        <v>641</v>
      </c>
      <c r="B2275" t="s">
        <v>40</v>
      </c>
      <c r="E2275" s="3">
        <f>HYPERLINK("https://sao.dolgi.msk.ru/account/1404235783/", 1404235783)</f>
        <v>1404235783</v>
      </c>
      <c r="F2275">
        <v>-774.76</v>
      </c>
    </row>
    <row r="2276" spans="1:6" hidden="1" x14ac:dyDescent="0.25">
      <c r="A2276" t="s">
        <v>641</v>
      </c>
      <c r="B2276" t="s">
        <v>41</v>
      </c>
      <c r="E2276" s="3">
        <f>HYPERLINK("https://sao.dolgi.msk.ru/account/1404235986/", 1404235986)</f>
        <v>1404235986</v>
      </c>
      <c r="F2276">
        <v>0</v>
      </c>
    </row>
    <row r="2277" spans="1:6" hidden="1" x14ac:dyDescent="0.25">
      <c r="A2277" t="s">
        <v>641</v>
      </c>
      <c r="B2277" t="s">
        <v>42</v>
      </c>
      <c r="E2277" s="3">
        <f>HYPERLINK("https://sao.dolgi.msk.ru/account/1404234836/", 1404234836)</f>
        <v>1404234836</v>
      </c>
      <c r="F2277">
        <v>-1770.25</v>
      </c>
    </row>
    <row r="2278" spans="1:6" hidden="1" x14ac:dyDescent="0.25">
      <c r="A2278" t="s">
        <v>641</v>
      </c>
      <c r="B2278" t="s">
        <v>43</v>
      </c>
      <c r="E2278" s="3">
        <f>HYPERLINK("https://sao.dolgi.msk.ru/account/1404235062/", 1404235062)</f>
        <v>1404235062</v>
      </c>
      <c r="F2278">
        <v>-2454.31</v>
      </c>
    </row>
    <row r="2279" spans="1:6" hidden="1" x14ac:dyDescent="0.25">
      <c r="A2279" t="s">
        <v>641</v>
      </c>
      <c r="B2279" t="s">
        <v>44</v>
      </c>
      <c r="E2279" s="3">
        <f>HYPERLINK("https://sao.dolgi.msk.ru/account/1404235994/", 1404235994)</f>
        <v>1404235994</v>
      </c>
      <c r="F2279">
        <v>-1696.3</v>
      </c>
    </row>
    <row r="2280" spans="1:6" x14ac:dyDescent="0.25">
      <c r="A2280" t="s">
        <v>641</v>
      </c>
      <c r="B2280" t="s">
        <v>45</v>
      </c>
      <c r="C2280" s="5" t="str">
        <f t="shared" ref="C2280:C2282" si="94">" кв. "&amp;B2280</f>
        <v xml:space="preserve"> кв. 41</v>
      </c>
      <c r="D2280" s="5" t="str">
        <f>CONCATENATE(A2280,C2280)</f>
        <v>Беломорская ул., дом 13 к.2 кв. 41</v>
      </c>
      <c r="E2280" s="3">
        <f>HYPERLINK("https://sao.dolgi.msk.ru/account/1404236006/", 1404236006)</f>
        <v>1404236006</v>
      </c>
      <c r="F2280">
        <v>1214.5899999999999</v>
      </c>
    </row>
    <row r="2281" spans="1:6" x14ac:dyDescent="0.25">
      <c r="A2281" t="s">
        <v>641</v>
      </c>
      <c r="B2281" t="s">
        <v>46</v>
      </c>
      <c r="C2281" s="5" t="str">
        <f t="shared" si="94"/>
        <v xml:space="preserve"> кв. 42</v>
      </c>
      <c r="D2281" s="5" t="str">
        <f>CONCATENATE(A2281,C2281)</f>
        <v>Беломорская ул., дом 13 к.2 кв. 42</v>
      </c>
      <c r="E2281" s="3">
        <f>HYPERLINK("https://sao.dolgi.msk.ru/account/1404234844/", 1404234844)</f>
        <v>1404234844</v>
      </c>
      <c r="F2281">
        <v>1208.27</v>
      </c>
    </row>
    <row r="2282" spans="1:6" x14ac:dyDescent="0.25">
      <c r="A2282" t="s">
        <v>641</v>
      </c>
      <c r="B2282" t="s">
        <v>47</v>
      </c>
      <c r="C2282" s="5" t="str">
        <f t="shared" si="94"/>
        <v xml:space="preserve"> кв. 43</v>
      </c>
      <c r="D2282" s="5" t="str">
        <f>CONCATENATE(A2282,C2282)</f>
        <v>Беломорская ул., дом 13 к.2 кв. 43</v>
      </c>
      <c r="E2282" s="3">
        <f>HYPERLINK("https://sao.dolgi.msk.ru/account/1404235089/", 1404235089)</f>
        <v>1404235089</v>
      </c>
      <c r="F2282">
        <v>1682.72</v>
      </c>
    </row>
    <row r="2283" spans="1:6" hidden="1" x14ac:dyDescent="0.25">
      <c r="A2283" t="s">
        <v>641</v>
      </c>
      <c r="B2283" t="s">
        <v>48</v>
      </c>
      <c r="E2283" s="3">
        <f>HYPERLINK("https://sao.dolgi.msk.ru/account/1404234895/", 1404234895)</f>
        <v>1404234895</v>
      </c>
      <c r="F2283">
        <v>-2449.69</v>
      </c>
    </row>
    <row r="2284" spans="1:6" x14ac:dyDescent="0.25">
      <c r="A2284" t="s">
        <v>641</v>
      </c>
      <c r="B2284" t="s">
        <v>49</v>
      </c>
      <c r="C2284" s="5" t="str">
        <f>" кв. "&amp;B2284</f>
        <v xml:space="preserve"> кв. 45</v>
      </c>
      <c r="D2284" s="5" t="str">
        <f>CONCATENATE(A2284,C2284)</f>
        <v>Беломорская ул., дом 13 к.2 кв. 45</v>
      </c>
      <c r="E2284" s="3">
        <f>HYPERLINK("https://sao.dolgi.msk.ru/account/1404236196/", 1404236196)</f>
        <v>1404236196</v>
      </c>
      <c r="F2284">
        <v>1208.27</v>
      </c>
    </row>
    <row r="2285" spans="1:6" hidden="1" x14ac:dyDescent="0.25">
      <c r="A2285" t="s">
        <v>641</v>
      </c>
      <c r="B2285" t="s">
        <v>50</v>
      </c>
      <c r="E2285" s="3">
        <f>HYPERLINK("https://sao.dolgi.msk.ru/account/1404235425/", 1404235425)</f>
        <v>1404235425</v>
      </c>
      <c r="F2285">
        <v>-1765.63</v>
      </c>
    </row>
    <row r="2286" spans="1:6" hidden="1" x14ac:dyDescent="0.25">
      <c r="A2286" t="s">
        <v>641</v>
      </c>
      <c r="B2286" t="s">
        <v>51</v>
      </c>
      <c r="E2286" s="3">
        <f>HYPERLINK("https://sao.dolgi.msk.ru/account/1404235791/", 1404235791)</f>
        <v>1404235791</v>
      </c>
      <c r="F2286">
        <v>-1552.82</v>
      </c>
    </row>
    <row r="2287" spans="1:6" hidden="1" x14ac:dyDescent="0.25">
      <c r="A2287" t="s">
        <v>641</v>
      </c>
      <c r="B2287" t="s">
        <v>52</v>
      </c>
      <c r="E2287" s="3">
        <f>HYPERLINK("https://sao.dolgi.msk.ru/account/1404236014/", 1404236014)</f>
        <v>1404236014</v>
      </c>
      <c r="F2287">
        <v>-2454.31</v>
      </c>
    </row>
    <row r="2288" spans="1:6" hidden="1" x14ac:dyDescent="0.25">
      <c r="A2288" t="s">
        <v>641</v>
      </c>
      <c r="B2288" t="s">
        <v>53</v>
      </c>
      <c r="E2288" s="3">
        <f>HYPERLINK("https://sao.dolgi.msk.ru/account/1404235572/", 1404235572)</f>
        <v>1404235572</v>
      </c>
      <c r="F2288">
        <v>-1770.25</v>
      </c>
    </row>
    <row r="2289" spans="1:6" hidden="1" x14ac:dyDescent="0.25">
      <c r="A2289" t="s">
        <v>641</v>
      </c>
      <c r="B2289" t="s">
        <v>54</v>
      </c>
      <c r="E2289" s="3">
        <f>HYPERLINK("https://sao.dolgi.msk.ru/account/1404234641/", 1404234641)</f>
        <v>1404234641</v>
      </c>
      <c r="F2289">
        <v>-1494.73</v>
      </c>
    </row>
    <row r="2290" spans="1:6" hidden="1" x14ac:dyDescent="0.25">
      <c r="A2290" t="s">
        <v>641</v>
      </c>
      <c r="B2290" t="s">
        <v>55</v>
      </c>
      <c r="E2290" s="3">
        <f>HYPERLINK("https://sao.dolgi.msk.ru/account/1404235134/", 1404235134)</f>
        <v>1404235134</v>
      </c>
      <c r="F2290">
        <v>0</v>
      </c>
    </row>
    <row r="2291" spans="1:6" x14ac:dyDescent="0.25">
      <c r="A2291" t="s">
        <v>641</v>
      </c>
      <c r="B2291" t="s">
        <v>56</v>
      </c>
      <c r="C2291" s="5" t="str">
        <f t="shared" ref="C2291:C2292" si="95">" кв. "&amp;B2291</f>
        <v xml:space="preserve"> кв. 52</v>
      </c>
      <c r="D2291" s="5" t="str">
        <f>CONCATENATE(A2291,C2291)</f>
        <v>Беломорская ул., дом 13 к.2 кв. 52</v>
      </c>
      <c r="E2291" s="3">
        <f>HYPERLINK("https://sao.dolgi.msk.ru/account/1404234924/", 1404234924)</f>
        <v>1404234924</v>
      </c>
      <c r="F2291">
        <v>1682.72</v>
      </c>
    </row>
    <row r="2292" spans="1:6" x14ac:dyDescent="0.25">
      <c r="A2292" t="s">
        <v>641</v>
      </c>
      <c r="B2292" t="s">
        <v>57</v>
      </c>
      <c r="C2292" s="5" t="str">
        <f t="shared" si="95"/>
        <v xml:space="preserve"> кв. 53</v>
      </c>
      <c r="D2292" s="5" t="str">
        <f>CONCATENATE(A2292,C2292)</f>
        <v>Беломорская ул., дом 13 к.2 кв. 53</v>
      </c>
      <c r="E2292" s="3">
        <f>HYPERLINK("https://sao.dolgi.msk.ru/account/1404234668/", 1404234668)</f>
        <v>1404234668</v>
      </c>
      <c r="F2292">
        <v>1205.0999999999999</v>
      </c>
    </row>
    <row r="2293" spans="1:6" hidden="1" x14ac:dyDescent="0.25">
      <c r="A2293" t="s">
        <v>641</v>
      </c>
      <c r="B2293" t="s">
        <v>58</v>
      </c>
      <c r="E2293" s="3">
        <f>HYPERLINK("https://sao.dolgi.msk.ru/account/1404235353/", 1404235353)</f>
        <v>1404235353</v>
      </c>
      <c r="F2293">
        <v>-968.93</v>
      </c>
    </row>
    <row r="2294" spans="1:6" x14ac:dyDescent="0.25">
      <c r="A2294" t="s">
        <v>641</v>
      </c>
      <c r="B2294" t="s">
        <v>59</v>
      </c>
      <c r="C2294" s="5" t="str">
        <f>" кв. "&amp;B2294</f>
        <v xml:space="preserve"> кв. 55</v>
      </c>
      <c r="D2294" s="5" t="str">
        <f>CONCATENATE(A2294,C2294)</f>
        <v>Беломорская ул., дом 13 к.2 кв. 55</v>
      </c>
      <c r="E2294" s="3">
        <f>HYPERLINK("https://sao.dolgi.msk.ru/account/1404234676/", 1404234676)</f>
        <v>1404234676</v>
      </c>
      <c r="F2294">
        <v>1676.39</v>
      </c>
    </row>
    <row r="2295" spans="1:6" hidden="1" x14ac:dyDescent="0.25">
      <c r="A2295" t="s">
        <v>641</v>
      </c>
      <c r="B2295" t="s">
        <v>60</v>
      </c>
      <c r="E2295" s="3">
        <f>HYPERLINK("https://sao.dolgi.msk.ru/account/1404235679/", 1404235679)</f>
        <v>1404235679</v>
      </c>
      <c r="F2295">
        <v>-2458.94</v>
      </c>
    </row>
    <row r="2296" spans="1:6" x14ac:dyDescent="0.25">
      <c r="A2296" t="s">
        <v>641</v>
      </c>
      <c r="B2296" t="s">
        <v>61</v>
      </c>
      <c r="C2296" s="5" t="str">
        <f t="shared" ref="C2296:C2297" si="96">" кв. "&amp;B2296</f>
        <v xml:space="preserve"> кв. 57</v>
      </c>
      <c r="D2296" s="5" t="str">
        <f>CONCATENATE(A2296,C2296)</f>
        <v>Беломорская ул., дом 13 к.2 кв. 57</v>
      </c>
      <c r="E2296" s="3">
        <f>HYPERLINK("https://sao.dolgi.msk.ru/account/1404235687/", 1404235687)</f>
        <v>1404235687</v>
      </c>
      <c r="F2296">
        <v>689.53</v>
      </c>
    </row>
    <row r="2297" spans="1:6" x14ac:dyDescent="0.25">
      <c r="A2297" t="s">
        <v>641</v>
      </c>
      <c r="B2297" t="s">
        <v>62</v>
      </c>
      <c r="C2297" s="5" t="str">
        <f t="shared" si="96"/>
        <v xml:space="preserve"> кв. 58</v>
      </c>
      <c r="D2297" s="5" t="str">
        <f>CONCATENATE(A2297,C2297)</f>
        <v>Беломорская ул., дом 13 к.2 кв. 58</v>
      </c>
      <c r="E2297" s="3">
        <f>HYPERLINK("https://sao.dolgi.msk.ru/account/1404235476/", 1404235476)</f>
        <v>1404235476</v>
      </c>
      <c r="F2297">
        <v>1208.27</v>
      </c>
    </row>
    <row r="2298" spans="1:6" hidden="1" x14ac:dyDescent="0.25">
      <c r="A2298" t="s">
        <v>641</v>
      </c>
      <c r="B2298" t="s">
        <v>63</v>
      </c>
      <c r="E2298" s="3">
        <f>HYPERLINK("https://sao.dolgi.msk.ru/account/1404235484/", 1404235484)</f>
        <v>1404235484</v>
      </c>
      <c r="F2298">
        <v>-2468.1799999999998</v>
      </c>
    </row>
    <row r="2299" spans="1:6" hidden="1" x14ac:dyDescent="0.25">
      <c r="A2299" t="s">
        <v>641</v>
      </c>
      <c r="B2299" t="s">
        <v>64</v>
      </c>
      <c r="E2299" s="3">
        <f>HYPERLINK("https://sao.dolgi.msk.ru/account/1404236049/", 1404236049)</f>
        <v>1404236049</v>
      </c>
      <c r="F2299">
        <v>0</v>
      </c>
    </row>
    <row r="2300" spans="1:6" hidden="1" x14ac:dyDescent="0.25">
      <c r="A2300" t="s">
        <v>641</v>
      </c>
      <c r="B2300" t="s">
        <v>65</v>
      </c>
      <c r="E2300" s="3">
        <f>HYPERLINK("https://sao.dolgi.msk.ru/account/1404236073/", 1404236073)</f>
        <v>1404236073</v>
      </c>
      <c r="F2300">
        <v>-1770.25</v>
      </c>
    </row>
    <row r="2301" spans="1:6" x14ac:dyDescent="0.25">
      <c r="A2301" t="s">
        <v>641</v>
      </c>
      <c r="B2301" t="s">
        <v>66</v>
      </c>
      <c r="C2301" s="5" t="str">
        <f>" кв. "&amp;B2301</f>
        <v xml:space="preserve"> кв. 62</v>
      </c>
      <c r="D2301" s="5" t="str">
        <f>CONCATENATE(A2301,C2301)</f>
        <v>Беломорская ул., дом 13 к.2 кв. 62</v>
      </c>
      <c r="E2301" s="3">
        <f>HYPERLINK("https://sao.dolgi.msk.ru/account/1404235847/", 1404235847)</f>
        <v>1404235847</v>
      </c>
      <c r="F2301">
        <v>1208.27</v>
      </c>
    </row>
    <row r="2302" spans="1:6" hidden="1" x14ac:dyDescent="0.25">
      <c r="A2302" t="s">
        <v>641</v>
      </c>
      <c r="B2302" t="s">
        <v>67</v>
      </c>
      <c r="E2302" s="3">
        <f>HYPERLINK("https://sao.dolgi.msk.ru/account/1404234852/", 1404234852)</f>
        <v>1404234852</v>
      </c>
      <c r="F2302">
        <v>0</v>
      </c>
    </row>
    <row r="2303" spans="1:6" hidden="1" x14ac:dyDescent="0.25">
      <c r="A2303" t="s">
        <v>641</v>
      </c>
      <c r="B2303" t="s">
        <v>68</v>
      </c>
      <c r="E2303" s="3">
        <f>HYPERLINK("https://sao.dolgi.msk.ru/account/1404234684/", 1404234684)</f>
        <v>1404234684</v>
      </c>
      <c r="F2303">
        <v>-2463.56</v>
      </c>
    </row>
    <row r="2304" spans="1:6" x14ac:dyDescent="0.25">
      <c r="A2304" t="s">
        <v>641</v>
      </c>
      <c r="B2304" t="s">
        <v>69</v>
      </c>
      <c r="C2304" s="5" t="str">
        <f>" кв. "&amp;B2304</f>
        <v xml:space="preserve"> кв. 65</v>
      </c>
      <c r="D2304" s="5" t="str">
        <f>CONCATENATE(A2304,C2304)</f>
        <v>Беломорская ул., дом 13 к.2 кв. 65</v>
      </c>
      <c r="E2304" s="3">
        <f>HYPERLINK("https://sao.dolgi.msk.ru/account/1404235142/", 1404235142)</f>
        <v>1404235142</v>
      </c>
      <c r="F2304">
        <v>1211.43</v>
      </c>
    </row>
    <row r="2305" spans="1:6" hidden="1" x14ac:dyDescent="0.25">
      <c r="A2305" t="s">
        <v>641</v>
      </c>
      <c r="B2305" t="s">
        <v>70</v>
      </c>
      <c r="E2305" s="3">
        <f>HYPERLINK("https://sao.dolgi.msk.ru/account/1404235361/", 1404235361)</f>
        <v>1404235361</v>
      </c>
      <c r="F2305">
        <v>0</v>
      </c>
    </row>
    <row r="2306" spans="1:6" hidden="1" x14ac:dyDescent="0.25">
      <c r="A2306" t="s">
        <v>641</v>
      </c>
      <c r="B2306" t="s">
        <v>71</v>
      </c>
      <c r="E2306" s="3">
        <f>HYPERLINK("https://sao.dolgi.msk.ru/account/1404235492/", 1404235492)</f>
        <v>1404235492</v>
      </c>
      <c r="F2306">
        <v>-2454.31</v>
      </c>
    </row>
    <row r="2307" spans="1:6" hidden="1" x14ac:dyDescent="0.25">
      <c r="A2307" t="s">
        <v>641</v>
      </c>
      <c r="B2307" t="s">
        <v>72</v>
      </c>
      <c r="E2307" s="3">
        <f>HYPERLINK("https://sao.dolgi.msk.ru/account/1404235345/", 1404235345)</f>
        <v>1404235345</v>
      </c>
      <c r="F2307">
        <v>-2173.69</v>
      </c>
    </row>
    <row r="2308" spans="1:6" hidden="1" x14ac:dyDescent="0.25">
      <c r="A2308" t="s">
        <v>641</v>
      </c>
      <c r="B2308" t="s">
        <v>73</v>
      </c>
      <c r="E2308" s="3">
        <f>HYPERLINK("https://sao.dolgi.msk.ru/account/1404234908/", 1404234908)</f>
        <v>1404234908</v>
      </c>
      <c r="F2308">
        <v>-1290.98</v>
      </c>
    </row>
    <row r="2309" spans="1:6" hidden="1" x14ac:dyDescent="0.25">
      <c r="A2309" t="s">
        <v>641</v>
      </c>
      <c r="B2309" t="s">
        <v>74</v>
      </c>
      <c r="E2309" s="3">
        <f>HYPERLINK("https://sao.dolgi.msk.ru/account/1404235118/", 1404235118)</f>
        <v>1404235118</v>
      </c>
      <c r="F2309">
        <v>-1450.49</v>
      </c>
    </row>
    <row r="2310" spans="1:6" hidden="1" x14ac:dyDescent="0.25">
      <c r="A2310" t="s">
        <v>641</v>
      </c>
      <c r="B2310" t="s">
        <v>75</v>
      </c>
      <c r="E2310" s="3">
        <f>HYPERLINK("https://sao.dolgi.msk.ru/account/1404234625/", 1404234625)</f>
        <v>1404234625</v>
      </c>
      <c r="F2310">
        <v>-1696.3</v>
      </c>
    </row>
    <row r="2311" spans="1:6" x14ac:dyDescent="0.25">
      <c r="A2311" t="s">
        <v>641</v>
      </c>
      <c r="B2311" t="s">
        <v>76</v>
      </c>
      <c r="C2311" s="5" t="str">
        <f t="shared" ref="C2311:C2312" si="97">" кв. "&amp;B2311</f>
        <v xml:space="preserve"> кв. 72</v>
      </c>
      <c r="D2311" s="5" t="str">
        <f>CONCATENATE(A2311,C2311)</f>
        <v>Беломорская ул., дом 13 к.2 кв. 72</v>
      </c>
      <c r="E2311" s="3">
        <f>HYPERLINK("https://sao.dolgi.msk.ru/account/1404235652/", 1404235652)</f>
        <v>1404235652</v>
      </c>
      <c r="F2311">
        <v>686.37</v>
      </c>
    </row>
    <row r="2312" spans="1:6" x14ac:dyDescent="0.25">
      <c r="A2312" t="s">
        <v>641</v>
      </c>
      <c r="B2312" t="s">
        <v>77</v>
      </c>
      <c r="C2312" s="5" t="str">
        <f t="shared" si="97"/>
        <v xml:space="preserve"> кв. 73</v>
      </c>
      <c r="D2312" s="5" t="str">
        <f>CONCATENATE(A2312,C2312)</f>
        <v>Беломорская ул., дом 13 к.2 кв. 73</v>
      </c>
      <c r="E2312" s="3">
        <f>HYPERLINK("https://sao.dolgi.msk.ru/account/1404235126/", 1404235126)</f>
        <v>1404235126</v>
      </c>
      <c r="F2312">
        <v>2223.59</v>
      </c>
    </row>
    <row r="2313" spans="1:6" hidden="1" x14ac:dyDescent="0.25">
      <c r="A2313" t="s">
        <v>641</v>
      </c>
      <c r="B2313" t="s">
        <v>78</v>
      </c>
      <c r="E2313" s="3">
        <f>HYPERLINK("https://sao.dolgi.msk.ru/account/1404234633/", 1404234633)</f>
        <v>1404234633</v>
      </c>
      <c r="F2313">
        <v>0</v>
      </c>
    </row>
    <row r="2314" spans="1:6" hidden="1" x14ac:dyDescent="0.25">
      <c r="A2314" t="s">
        <v>641</v>
      </c>
      <c r="B2314" t="s">
        <v>79</v>
      </c>
      <c r="E2314" s="3">
        <f>HYPERLINK("https://sao.dolgi.msk.ru/account/1404234916/", 1404234916)</f>
        <v>1404234916</v>
      </c>
      <c r="F2314">
        <v>0</v>
      </c>
    </row>
    <row r="2315" spans="1:6" hidden="1" x14ac:dyDescent="0.25">
      <c r="A2315" t="s">
        <v>641</v>
      </c>
      <c r="B2315" t="s">
        <v>80</v>
      </c>
      <c r="E2315" s="3">
        <f>HYPERLINK("https://sao.dolgi.msk.ru/account/1404235601/", 1404235601)</f>
        <v>1404235601</v>
      </c>
      <c r="F2315">
        <v>-1765.63</v>
      </c>
    </row>
    <row r="2316" spans="1:6" hidden="1" x14ac:dyDescent="0.25">
      <c r="A2316" t="s">
        <v>641</v>
      </c>
      <c r="B2316" t="s">
        <v>81</v>
      </c>
      <c r="E2316" s="3">
        <f>HYPERLINK("https://sao.dolgi.msk.ru/account/1404236057/", 1404236057)</f>
        <v>1404236057</v>
      </c>
      <c r="F2316">
        <v>-2362.83</v>
      </c>
    </row>
    <row r="2317" spans="1:6" hidden="1" x14ac:dyDescent="0.25">
      <c r="A2317" t="s">
        <v>641</v>
      </c>
      <c r="B2317" t="s">
        <v>82</v>
      </c>
      <c r="E2317" s="3">
        <f>HYPERLINK("https://sao.dolgi.msk.ru/account/1404235628/", 1404235628)</f>
        <v>1404235628</v>
      </c>
      <c r="F2317">
        <v>-1711.13</v>
      </c>
    </row>
    <row r="2318" spans="1:6" hidden="1" x14ac:dyDescent="0.25">
      <c r="A2318" t="s">
        <v>641</v>
      </c>
      <c r="B2318" t="s">
        <v>83</v>
      </c>
      <c r="E2318" s="3">
        <f>HYPERLINK("https://sao.dolgi.msk.ru/account/1404235302/", 1404235302)</f>
        <v>1404235302</v>
      </c>
      <c r="F2318">
        <v>-2454.31</v>
      </c>
    </row>
    <row r="2319" spans="1:6" hidden="1" x14ac:dyDescent="0.25">
      <c r="A2319" t="s">
        <v>641</v>
      </c>
      <c r="B2319" t="s">
        <v>84</v>
      </c>
      <c r="E2319" s="3">
        <f>HYPERLINK("https://sao.dolgi.msk.ru/account/1404234748/", 1404234748)</f>
        <v>1404234748</v>
      </c>
      <c r="F2319">
        <v>-1007.61</v>
      </c>
    </row>
    <row r="2320" spans="1:6" hidden="1" x14ac:dyDescent="0.25">
      <c r="A2320" t="s">
        <v>641</v>
      </c>
      <c r="B2320" t="s">
        <v>85</v>
      </c>
      <c r="E2320" s="3">
        <f>HYPERLINK("https://sao.dolgi.msk.ru/account/1404235724/", 1404235724)</f>
        <v>1404235724</v>
      </c>
      <c r="F2320">
        <v>0</v>
      </c>
    </row>
    <row r="2321" spans="1:6" x14ac:dyDescent="0.25">
      <c r="A2321" t="s">
        <v>641</v>
      </c>
      <c r="B2321" t="s">
        <v>86</v>
      </c>
      <c r="C2321" s="5" t="str">
        <f t="shared" ref="C2321:C2325" si="98">" кв. "&amp;B2321</f>
        <v xml:space="preserve"> кв. 82</v>
      </c>
      <c r="D2321" s="5" t="str">
        <f>CONCATENATE(A2321,C2321)</f>
        <v>Беломорская ул., дом 13 к.2 кв. 82</v>
      </c>
      <c r="E2321" s="3">
        <f>HYPERLINK("https://sao.dolgi.msk.ru/account/1404236145/", 1404236145)</f>
        <v>1404236145</v>
      </c>
      <c r="F2321">
        <v>1790.26</v>
      </c>
    </row>
    <row r="2322" spans="1:6" x14ac:dyDescent="0.25">
      <c r="A2322" t="s">
        <v>641</v>
      </c>
      <c r="B2322" t="s">
        <v>87</v>
      </c>
      <c r="C2322" s="5" t="str">
        <f t="shared" si="98"/>
        <v xml:space="preserve"> кв. 83</v>
      </c>
      <c r="D2322" s="5" t="str">
        <f>CONCATENATE(A2322,C2322)</f>
        <v>Беломорская ул., дом 13 к.2 кв. 83</v>
      </c>
      <c r="E2322" s="3">
        <f>HYPERLINK("https://sao.dolgi.msk.ru/account/1404235521/", 1404235521)</f>
        <v>1404235521</v>
      </c>
      <c r="F2322">
        <v>838.19</v>
      </c>
    </row>
    <row r="2323" spans="1:6" x14ac:dyDescent="0.25">
      <c r="A2323" t="s">
        <v>641</v>
      </c>
      <c r="B2323" t="s">
        <v>88</v>
      </c>
      <c r="C2323" s="5" t="str">
        <f t="shared" si="98"/>
        <v xml:space="preserve"> кв. 84</v>
      </c>
      <c r="D2323" s="5" t="str">
        <f>CONCATENATE(A2323,C2323)</f>
        <v>Беломорская ул., дом 13 к.2 кв. 84</v>
      </c>
      <c r="E2323" s="3">
        <f>HYPERLINK("https://sao.dolgi.msk.ru/account/1404235097/", 1404235097)</f>
        <v>1404235097</v>
      </c>
      <c r="F2323">
        <v>1205.0999999999999</v>
      </c>
    </row>
    <row r="2324" spans="1:6" x14ac:dyDescent="0.25">
      <c r="A2324" t="s">
        <v>641</v>
      </c>
      <c r="B2324" t="s">
        <v>89</v>
      </c>
      <c r="C2324" s="5" t="str">
        <f t="shared" si="98"/>
        <v xml:space="preserve"> кв. 85</v>
      </c>
      <c r="D2324" s="5" t="str">
        <f>CONCATENATE(A2324,C2324)</f>
        <v>Беломорская ул., дом 13 к.2 кв. 85</v>
      </c>
      <c r="E2324" s="3">
        <f>HYPERLINK("https://sao.dolgi.msk.ru/account/1404235919/", 1404235919)</f>
        <v>1404235919</v>
      </c>
      <c r="F2324">
        <v>2239.4</v>
      </c>
    </row>
    <row r="2325" spans="1:6" x14ac:dyDescent="0.25">
      <c r="A2325" t="s">
        <v>641</v>
      </c>
      <c r="B2325" t="s">
        <v>90</v>
      </c>
      <c r="C2325" s="5" t="str">
        <f t="shared" si="98"/>
        <v xml:space="preserve"> кв. 86</v>
      </c>
      <c r="D2325" s="5" t="str">
        <f>CONCATENATE(A2325,C2325)</f>
        <v>Беломорская ул., дом 13 к.2 кв. 86</v>
      </c>
      <c r="E2325" s="3">
        <f>HYPERLINK("https://sao.dolgi.msk.ru/account/1404235548/", 1404235548)</f>
        <v>1404235548</v>
      </c>
      <c r="F2325">
        <v>1802.91</v>
      </c>
    </row>
    <row r="2326" spans="1:6" hidden="1" x14ac:dyDescent="0.25">
      <c r="A2326" t="s">
        <v>641</v>
      </c>
      <c r="B2326" t="s">
        <v>91</v>
      </c>
      <c r="E2326" s="3">
        <f>HYPERLINK("https://sao.dolgi.msk.ru/account/1404235003/", 1404235003)</f>
        <v>1404235003</v>
      </c>
      <c r="F2326">
        <v>-2454.31</v>
      </c>
    </row>
    <row r="2327" spans="1:6" x14ac:dyDescent="0.25">
      <c r="A2327" t="s">
        <v>641</v>
      </c>
      <c r="B2327" t="s">
        <v>92</v>
      </c>
      <c r="C2327" s="5" t="str">
        <f t="shared" ref="C2327:C2328" si="99">" кв. "&amp;B2327</f>
        <v xml:space="preserve"> кв. 88</v>
      </c>
      <c r="D2327" s="5" t="str">
        <f>CONCATENATE(A2327,C2327)</f>
        <v>Беломорская ул., дом 13 к.2 кв. 88</v>
      </c>
      <c r="E2327" s="3">
        <f>HYPERLINK("https://sao.dolgi.msk.ru/account/1404235222/", 1404235222)</f>
        <v>1404235222</v>
      </c>
      <c r="F2327">
        <v>1211.43</v>
      </c>
    </row>
    <row r="2328" spans="1:6" x14ac:dyDescent="0.25">
      <c r="A2328" t="s">
        <v>641</v>
      </c>
      <c r="B2328" t="s">
        <v>93</v>
      </c>
      <c r="C2328" s="5" t="str">
        <f t="shared" si="99"/>
        <v xml:space="preserve"> кв. 89</v>
      </c>
      <c r="D2328" s="5" t="str">
        <f>CONCATENATE(A2328,C2328)</f>
        <v>Беломорская ул., дом 13 к.2 кв. 89</v>
      </c>
      <c r="E2328" s="3">
        <f>HYPERLINK("https://sao.dolgi.msk.ru/account/1404235556/", 1404235556)</f>
        <v>1404235556</v>
      </c>
      <c r="F2328">
        <v>2233.08</v>
      </c>
    </row>
    <row r="2329" spans="1:6" hidden="1" x14ac:dyDescent="0.25">
      <c r="A2329" t="s">
        <v>641</v>
      </c>
      <c r="B2329" t="s">
        <v>94</v>
      </c>
      <c r="E2329" s="3">
        <f>HYPERLINK("https://sao.dolgi.msk.ru/account/1404235038/", 1404235038)</f>
        <v>1404235038</v>
      </c>
      <c r="F2329">
        <v>-1353.07</v>
      </c>
    </row>
    <row r="2330" spans="1:6" hidden="1" x14ac:dyDescent="0.25">
      <c r="A2330" t="s">
        <v>641</v>
      </c>
      <c r="B2330" t="s">
        <v>95</v>
      </c>
      <c r="E2330" s="3">
        <f>HYPERLINK("https://sao.dolgi.msk.ru/account/1404236153/", 1404236153)</f>
        <v>1404236153</v>
      </c>
      <c r="F2330">
        <v>-2445.0700000000002</v>
      </c>
    </row>
    <row r="2331" spans="1:6" hidden="1" x14ac:dyDescent="0.25">
      <c r="A2331" t="s">
        <v>641</v>
      </c>
      <c r="B2331" t="s">
        <v>96</v>
      </c>
      <c r="E2331" s="3">
        <f>HYPERLINK("https://sao.dolgi.msk.ru/account/1404235388/", 1404235388)</f>
        <v>1404235388</v>
      </c>
      <c r="F2331">
        <v>-561.74</v>
      </c>
    </row>
    <row r="2332" spans="1:6" hidden="1" x14ac:dyDescent="0.25">
      <c r="A2332" t="s">
        <v>641</v>
      </c>
      <c r="B2332" t="s">
        <v>97</v>
      </c>
      <c r="E2332" s="3">
        <f>HYPERLINK("https://sao.dolgi.msk.ru/account/1404235249/", 1404235249)</f>
        <v>1404235249</v>
      </c>
      <c r="F2332">
        <v>-3009.9</v>
      </c>
    </row>
    <row r="2333" spans="1:6" hidden="1" x14ac:dyDescent="0.25">
      <c r="A2333" t="s">
        <v>641</v>
      </c>
      <c r="B2333" t="s">
        <v>98</v>
      </c>
      <c r="E2333" s="3">
        <f>HYPERLINK("https://sao.dolgi.msk.ru/account/1404235927/", 1404235927)</f>
        <v>1404235927</v>
      </c>
      <c r="F2333">
        <v>-3767.74</v>
      </c>
    </row>
    <row r="2334" spans="1:6" hidden="1" x14ac:dyDescent="0.25">
      <c r="A2334" t="s">
        <v>641</v>
      </c>
      <c r="B2334" t="s">
        <v>99</v>
      </c>
      <c r="E2334" s="3">
        <f>HYPERLINK("https://sao.dolgi.msk.ru/account/1404235046/", 1404235046)</f>
        <v>1404235046</v>
      </c>
      <c r="F2334">
        <v>0</v>
      </c>
    </row>
    <row r="2335" spans="1:6" hidden="1" x14ac:dyDescent="0.25">
      <c r="A2335" t="s">
        <v>641</v>
      </c>
      <c r="B2335" t="s">
        <v>100</v>
      </c>
      <c r="E2335" s="3">
        <f>HYPERLINK("https://sao.dolgi.msk.ru/account/1404235935/", 1404235935)</f>
        <v>1404235935</v>
      </c>
      <c r="F2335">
        <v>-1761</v>
      </c>
    </row>
    <row r="2336" spans="1:6" hidden="1" x14ac:dyDescent="0.25">
      <c r="A2336" t="s">
        <v>641</v>
      </c>
      <c r="B2336" t="s">
        <v>101</v>
      </c>
      <c r="E2336" s="3">
        <f>HYPERLINK("https://sao.dolgi.msk.ru/account/1404235054/", 1404235054)</f>
        <v>1404235054</v>
      </c>
      <c r="F2336">
        <v>-3267.8</v>
      </c>
    </row>
    <row r="2337" spans="1:6" hidden="1" x14ac:dyDescent="0.25">
      <c r="A2337" t="s">
        <v>641</v>
      </c>
      <c r="B2337" t="s">
        <v>102</v>
      </c>
      <c r="E2337" s="3">
        <f>HYPERLINK("https://sao.dolgi.msk.ru/account/1404234801/", 1404234801)</f>
        <v>1404234801</v>
      </c>
      <c r="F2337">
        <v>-2625.34</v>
      </c>
    </row>
    <row r="2338" spans="1:6" hidden="1" x14ac:dyDescent="0.25">
      <c r="A2338" t="s">
        <v>641</v>
      </c>
      <c r="B2338" t="s">
        <v>103</v>
      </c>
      <c r="E2338" s="3">
        <f>HYPERLINK("https://sao.dolgi.msk.ru/account/1404234828/", 1404234828)</f>
        <v>1404234828</v>
      </c>
      <c r="F2338">
        <v>-1231.78</v>
      </c>
    </row>
    <row r="2339" spans="1:6" hidden="1" x14ac:dyDescent="0.25">
      <c r="A2339" t="s">
        <v>641</v>
      </c>
      <c r="B2339" t="s">
        <v>104</v>
      </c>
      <c r="E2339" s="3">
        <f>HYPERLINK("https://sao.dolgi.msk.ru/account/1404234983/", 1404234983)</f>
        <v>1404234983</v>
      </c>
      <c r="F2339">
        <v>-1774.87</v>
      </c>
    </row>
    <row r="2340" spans="1:6" hidden="1" x14ac:dyDescent="0.25">
      <c r="A2340" t="s">
        <v>641</v>
      </c>
      <c r="B2340" t="s">
        <v>105</v>
      </c>
      <c r="E2340" s="3">
        <f>HYPERLINK("https://sao.dolgi.msk.ru/account/1404234991/", 1404234991)</f>
        <v>1404234991</v>
      </c>
      <c r="F2340">
        <v>-3277.05</v>
      </c>
    </row>
    <row r="2341" spans="1:6" hidden="1" x14ac:dyDescent="0.25">
      <c r="A2341" t="s">
        <v>641</v>
      </c>
      <c r="B2341" t="s">
        <v>106</v>
      </c>
      <c r="E2341" s="3">
        <f>HYPERLINK("https://sao.dolgi.msk.ru/account/1404235513/", 1404235513)</f>
        <v>1404235513</v>
      </c>
      <c r="F2341">
        <v>-2625.34</v>
      </c>
    </row>
    <row r="2342" spans="1:6" hidden="1" x14ac:dyDescent="0.25">
      <c r="A2342" t="s">
        <v>641</v>
      </c>
      <c r="B2342" t="s">
        <v>107</v>
      </c>
      <c r="E2342" s="3">
        <f>HYPERLINK("https://sao.dolgi.msk.ru/account/1404235636/", 1404235636)</f>
        <v>1404235636</v>
      </c>
      <c r="F2342">
        <v>0</v>
      </c>
    </row>
    <row r="2343" spans="1:6" hidden="1" x14ac:dyDescent="0.25">
      <c r="A2343" t="s">
        <v>641</v>
      </c>
      <c r="B2343" t="s">
        <v>108</v>
      </c>
      <c r="E2343" s="3">
        <f>HYPERLINK("https://sao.dolgi.msk.ru/account/1404235644/", 1404235644)</f>
        <v>1404235644</v>
      </c>
      <c r="F2343">
        <v>-1779.5</v>
      </c>
    </row>
    <row r="2344" spans="1:6" hidden="1" x14ac:dyDescent="0.25">
      <c r="A2344" t="s">
        <v>641</v>
      </c>
      <c r="B2344" t="s">
        <v>109</v>
      </c>
      <c r="E2344" s="3">
        <f>HYPERLINK("https://sao.dolgi.msk.ru/account/1404235599/", 1404235599)</f>
        <v>1404235599</v>
      </c>
      <c r="F2344">
        <v>-3272.42</v>
      </c>
    </row>
    <row r="2345" spans="1:6" hidden="1" x14ac:dyDescent="0.25">
      <c r="A2345" t="s">
        <v>641</v>
      </c>
      <c r="B2345" t="s">
        <v>110</v>
      </c>
      <c r="E2345" s="3">
        <f>HYPERLINK("https://sao.dolgi.msk.ru/account/1404234617/", 1404234617)</f>
        <v>1404234617</v>
      </c>
      <c r="F2345">
        <v>0</v>
      </c>
    </row>
    <row r="2346" spans="1:6" hidden="1" x14ac:dyDescent="0.25">
      <c r="A2346" t="s">
        <v>641</v>
      </c>
      <c r="B2346" t="s">
        <v>111</v>
      </c>
      <c r="E2346" s="3">
        <f>HYPERLINK("https://sao.dolgi.msk.ru/account/1404235812/", 1404235812)</f>
        <v>1404235812</v>
      </c>
      <c r="F2346">
        <v>-2449.69</v>
      </c>
    </row>
    <row r="2347" spans="1:6" hidden="1" x14ac:dyDescent="0.25">
      <c r="A2347" t="s">
        <v>641</v>
      </c>
      <c r="B2347" t="s">
        <v>112</v>
      </c>
      <c r="E2347" s="3">
        <f>HYPERLINK("https://sao.dolgi.msk.ru/account/1404235329/", 1404235329)</f>
        <v>1404235329</v>
      </c>
      <c r="F2347">
        <v>-1774.87</v>
      </c>
    </row>
    <row r="2348" spans="1:6" hidden="1" x14ac:dyDescent="0.25">
      <c r="A2348" t="s">
        <v>641</v>
      </c>
      <c r="B2348" t="s">
        <v>113</v>
      </c>
      <c r="E2348" s="3">
        <f>HYPERLINK("https://sao.dolgi.msk.ru/account/1404235281/", 1404235281)</f>
        <v>1404235281</v>
      </c>
      <c r="F2348">
        <v>0</v>
      </c>
    </row>
    <row r="2349" spans="1:6" hidden="1" x14ac:dyDescent="0.25">
      <c r="A2349" t="s">
        <v>641</v>
      </c>
      <c r="B2349" t="s">
        <v>113</v>
      </c>
      <c r="E2349" s="3">
        <f>HYPERLINK("https://sao.dolgi.msk.ru/account/1404236065/", 1404236065)</f>
        <v>1404236065</v>
      </c>
      <c r="F2349">
        <v>0</v>
      </c>
    </row>
    <row r="2350" spans="1:6" hidden="1" x14ac:dyDescent="0.25">
      <c r="A2350" t="s">
        <v>641</v>
      </c>
      <c r="B2350" t="s">
        <v>114</v>
      </c>
      <c r="E2350" s="3">
        <f>HYPERLINK("https://sao.dolgi.msk.ru/account/1404234879/", 1404234879)</f>
        <v>1404234879</v>
      </c>
      <c r="F2350">
        <v>-2210.96</v>
      </c>
    </row>
    <row r="2351" spans="1:6" hidden="1" x14ac:dyDescent="0.25">
      <c r="A2351" t="s">
        <v>641</v>
      </c>
      <c r="B2351" t="s">
        <v>115</v>
      </c>
      <c r="E2351" s="3">
        <f>HYPERLINK("https://sao.dolgi.msk.ru/account/1404235441/", 1404235441)</f>
        <v>1404235441</v>
      </c>
      <c r="F2351">
        <v>0</v>
      </c>
    </row>
    <row r="2352" spans="1:6" hidden="1" x14ac:dyDescent="0.25">
      <c r="A2352" t="s">
        <v>641</v>
      </c>
      <c r="B2352" t="s">
        <v>116</v>
      </c>
      <c r="E2352" s="3">
        <f>HYPERLINK("https://sao.dolgi.msk.ru/account/1404234553/", 1404234553)</f>
        <v>1404234553</v>
      </c>
      <c r="F2352">
        <v>-1710.17</v>
      </c>
    </row>
    <row r="2353" spans="1:6" hidden="1" x14ac:dyDescent="0.25">
      <c r="A2353" t="s">
        <v>641</v>
      </c>
      <c r="B2353" t="s">
        <v>117</v>
      </c>
      <c r="E2353" s="3">
        <f>HYPERLINK("https://sao.dolgi.msk.ru/account/1404235337/", 1404235337)</f>
        <v>1404235337</v>
      </c>
      <c r="F2353">
        <v>-3281.67</v>
      </c>
    </row>
    <row r="2354" spans="1:6" hidden="1" x14ac:dyDescent="0.25">
      <c r="A2354" t="s">
        <v>641</v>
      </c>
      <c r="B2354" t="s">
        <v>118</v>
      </c>
      <c r="E2354" s="3">
        <f>HYPERLINK("https://sao.dolgi.msk.ru/account/1404234561/", 1404234561)</f>
        <v>1404234561</v>
      </c>
      <c r="F2354">
        <v>-2634.57</v>
      </c>
    </row>
    <row r="2355" spans="1:6" x14ac:dyDescent="0.25">
      <c r="A2355" t="s">
        <v>641</v>
      </c>
      <c r="B2355" t="s">
        <v>119</v>
      </c>
      <c r="C2355" s="5" t="str">
        <f>" кв. "&amp;B2355</f>
        <v xml:space="preserve"> кв. 115</v>
      </c>
      <c r="D2355" s="5" t="str">
        <f>CONCATENATE(A2355,C2355)</f>
        <v>Беломорская ул., дом 13 к.2 кв. 115</v>
      </c>
      <c r="E2355" s="3">
        <f>HYPERLINK("https://sao.dolgi.msk.ru/account/1404234588/", 1404234588)</f>
        <v>1404234588</v>
      </c>
      <c r="F2355">
        <v>1018.49</v>
      </c>
    </row>
    <row r="2356" spans="1:6" hidden="1" x14ac:dyDescent="0.25">
      <c r="A2356" t="s">
        <v>641</v>
      </c>
      <c r="B2356" t="s">
        <v>120</v>
      </c>
      <c r="E2356" s="3">
        <f>HYPERLINK("https://sao.dolgi.msk.ru/account/1404234887/", 1404234887)</f>
        <v>1404234887</v>
      </c>
      <c r="F2356">
        <v>-1774.87</v>
      </c>
    </row>
    <row r="2357" spans="1:6" hidden="1" x14ac:dyDescent="0.25">
      <c r="A2357" t="s">
        <v>641</v>
      </c>
      <c r="B2357" t="s">
        <v>121</v>
      </c>
      <c r="E2357" s="3">
        <f>HYPERLINK("https://sao.dolgi.msk.ru/account/1404234596/", 1404234596)</f>
        <v>1404234596</v>
      </c>
      <c r="F2357">
        <v>0</v>
      </c>
    </row>
    <row r="2358" spans="1:6" hidden="1" x14ac:dyDescent="0.25">
      <c r="A2358" t="s">
        <v>641</v>
      </c>
      <c r="B2358" t="s">
        <v>122</v>
      </c>
      <c r="E2358" s="3">
        <f>HYPERLINK("https://sao.dolgi.msk.ru/account/1404234609/", 1404234609)</f>
        <v>1404234609</v>
      </c>
      <c r="F2358">
        <v>-1521.35</v>
      </c>
    </row>
    <row r="2359" spans="1:6" hidden="1" x14ac:dyDescent="0.25">
      <c r="A2359" t="s">
        <v>641</v>
      </c>
      <c r="B2359" t="s">
        <v>123</v>
      </c>
      <c r="E2359" s="3">
        <f>HYPERLINK("https://sao.dolgi.msk.ru/account/1404235695/", 1404235695)</f>
        <v>1404235695</v>
      </c>
      <c r="F2359">
        <v>-2458.94</v>
      </c>
    </row>
    <row r="2360" spans="1:6" hidden="1" x14ac:dyDescent="0.25">
      <c r="A2360" t="s">
        <v>641</v>
      </c>
      <c r="B2360" t="s">
        <v>124</v>
      </c>
      <c r="E2360" s="3">
        <f>HYPERLINK("https://sao.dolgi.msk.ru/account/1404235169/", 1404235169)</f>
        <v>1404235169</v>
      </c>
      <c r="F2360">
        <v>-1002.99</v>
      </c>
    </row>
    <row r="2361" spans="1:6" x14ac:dyDescent="0.25">
      <c r="A2361" t="s">
        <v>641</v>
      </c>
      <c r="B2361" t="s">
        <v>125</v>
      </c>
      <c r="C2361" s="5" t="str">
        <f>" кв. "&amp;B2361</f>
        <v xml:space="preserve"> кв. 121</v>
      </c>
      <c r="D2361" s="5" t="str">
        <f>CONCATENATE(A2361,C2361)</f>
        <v>Беломорская ул., дом 13 к.2 кв. 121</v>
      </c>
      <c r="E2361" s="3">
        <f>HYPERLINK("https://sao.dolgi.msk.ru/account/1404236102/", 1404236102)</f>
        <v>1404236102</v>
      </c>
      <c r="F2361">
        <v>2220.4299999999998</v>
      </c>
    </row>
    <row r="2362" spans="1:6" hidden="1" x14ac:dyDescent="0.25">
      <c r="A2362" t="s">
        <v>641</v>
      </c>
      <c r="B2362" t="s">
        <v>126</v>
      </c>
      <c r="E2362" s="3">
        <f>HYPERLINK("https://sao.dolgi.msk.ru/account/1404235855/", 1404235855)</f>
        <v>1404235855</v>
      </c>
      <c r="F2362">
        <v>-1681.27</v>
      </c>
    </row>
    <row r="2363" spans="1:6" x14ac:dyDescent="0.25">
      <c r="A2363" t="s">
        <v>641</v>
      </c>
      <c r="B2363" t="s">
        <v>127</v>
      </c>
      <c r="C2363" s="5" t="str">
        <f t="shared" ref="C2363:C2366" si="100">" кв. "&amp;B2363</f>
        <v xml:space="preserve"> кв. 123</v>
      </c>
      <c r="D2363" s="5" t="str">
        <f>CONCATENATE(A2363,C2363)</f>
        <v>Беломорская ул., дом 13 к.2 кв. 123</v>
      </c>
      <c r="E2363" s="3">
        <f>HYPERLINK("https://sao.dolgi.msk.ru/account/1404235177/", 1404235177)</f>
        <v>1404235177</v>
      </c>
      <c r="F2363">
        <v>1160.82</v>
      </c>
    </row>
    <row r="2364" spans="1:6" x14ac:dyDescent="0.25">
      <c r="A2364" t="s">
        <v>641</v>
      </c>
      <c r="B2364" t="s">
        <v>128</v>
      </c>
      <c r="C2364" s="5" t="str">
        <f t="shared" si="100"/>
        <v xml:space="preserve"> кв. 124</v>
      </c>
      <c r="D2364" s="5" t="str">
        <f>CONCATENATE(A2364,C2364)</f>
        <v>Беломорская ул., дом 13 к.2 кв. 124</v>
      </c>
      <c r="E2364" s="3">
        <f>HYPERLINK("https://sao.dolgi.msk.ru/account/1404234692/", 1404234692)</f>
        <v>1404234692</v>
      </c>
      <c r="F2364">
        <v>1211.43</v>
      </c>
    </row>
    <row r="2365" spans="1:6" x14ac:dyDescent="0.25">
      <c r="A2365" t="s">
        <v>641</v>
      </c>
      <c r="B2365" t="s">
        <v>129</v>
      </c>
      <c r="C2365" s="5" t="str">
        <f t="shared" si="100"/>
        <v xml:space="preserve"> кв. 125</v>
      </c>
      <c r="D2365" s="5" t="str">
        <f>CONCATENATE(A2365,C2365)</f>
        <v>Беломорская ул., дом 13 к.2 кв. 125</v>
      </c>
      <c r="E2365" s="3">
        <f>HYPERLINK("https://sao.dolgi.msk.ru/account/1404236129/", 1404236129)</f>
        <v>1404236129</v>
      </c>
      <c r="F2365">
        <v>1864.62</v>
      </c>
    </row>
    <row r="2366" spans="1:6" x14ac:dyDescent="0.25">
      <c r="A2366" t="s">
        <v>641</v>
      </c>
      <c r="B2366" t="s">
        <v>130</v>
      </c>
      <c r="C2366" s="5" t="str">
        <f t="shared" si="100"/>
        <v xml:space="preserve"> кв. 126</v>
      </c>
      <c r="D2366" s="5" t="str">
        <f>CONCATENATE(A2366,C2366)</f>
        <v>Беломорская ул., дом 13 к.2 кв. 126</v>
      </c>
      <c r="E2366" s="3">
        <f>HYPERLINK("https://sao.dolgi.msk.ru/account/1404235505/", 1404235505)</f>
        <v>1404235505</v>
      </c>
      <c r="F2366">
        <v>899.88</v>
      </c>
    </row>
    <row r="2367" spans="1:6" hidden="1" x14ac:dyDescent="0.25">
      <c r="A2367" t="s">
        <v>641</v>
      </c>
      <c r="B2367" t="s">
        <v>131</v>
      </c>
      <c r="E2367" s="3">
        <f>HYPERLINK("https://sao.dolgi.msk.ru/account/1404234705/", 1404234705)</f>
        <v>1404234705</v>
      </c>
      <c r="F2367">
        <v>-1224.8599999999999</v>
      </c>
    </row>
    <row r="2368" spans="1:6" x14ac:dyDescent="0.25">
      <c r="A2368" t="s">
        <v>641</v>
      </c>
      <c r="B2368" t="s">
        <v>131</v>
      </c>
      <c r="C2368" s="5" t="str">
        <f t="shared" ref="C2368:C2369" si="101">" кв. "&amp;B2368</f>
        <v xml:space="preserve"> кв. 127</v>
      </c>
      <c r="D2368" s="5" t="str">
        <f>CONCATENATE(A2368,C2368)</f>
        <v>Беломорская ул., дом 13 к.2 кв. 127</v>
      </c>
      <c r="E2368" s="3">
        <f>HYPERLINK("https://sao.dolgi.msk.ru/account/1404235417/", 1404235417)</f>
        <v>1404235417</v>
      </c>
      <c r="F2368">
        <v>838.2</v>
      </c>
    </row>
    <row r="2369" spans="1:6" x14ac:dyDescent="0.25">
      <c r="A2369" t="s">
        <v>641</v>
      </c>
      <c r="B2369" t="s">
        <v>132</v>
      </c>
      <c r="C2369" s="5" t="str">
        <f t="shared" si="101"/>
        <v xml:space="preserve"> кв. 128</v>
      </c>
      <c r="D2369" s="5" t="str">
        <f>CONCATENATE(A2369,C2369)</f>
        <v>Беломорская ул., дом 13 к.2 кв. 128</v>
      </c>
      <c r="E2369" s="3">
        <f>HYPERLINK("https://sao.dolgi.msk.ru/account/1404235185/", 1404235185)</f>
        <v>1404235185</v>
      </c>
      <c r="F2369">
        <v>1220.92</v>
      </c>
    </row>
    <row r="2370" spans="1:6" hidden="1" x14ac:dyDescent="0.25">
      <c r="A2370" t="s">
        <v>641</v>
      </c>
      <c r="B2370" t="s">
        <v>133</v>
      </c>
      <c r="E2370" s="3">
        <f>HYPERLINK("https://sao.dolgi.msk.ru/account/1404235804/", 1404235804)</f>
        <v>1404235804</v>
      </c>
      <c r="F2370">
        <v>-2505.16</v>
      </c>
    </row>
    <row r="2371" spans="1:6" x14ac:dyDescent="0.25">
      <c r="A2371" t="s">
        <v>641</v>
      </c>
      <c r="B2371" t="s">
        <v>134</v>
      </c>
      <c r="C2371" s="5" t="str">
        <f t="shared" ref="C2371:C2378" si="102">" кв. "&amp;B2371</f>
        <v xml:space="preserve"> кв. 130</v>
      </c>
      <c r="D2371" s="5" t="str">
        <f>CONCATENATE(A2371,C2371)</f>
        <v>Беломорская ул., дом 13 к.2 кв. 130</v>
      </c>
      <c r="E2371" s="3">
        <f>HYPERLINK("https://sao.dolgi.msk.ru/account/1404234932/", 1404234932)</f>
        <v>1404234932</v>
      </c>
      <c r="F2371">
        <v>1796.58</v>
      </c>
    </row>
    <row r="2372" spans="1:6" x14ac:dyDescent="0.25">
      <c r="A2372" t="s">
        <v>641</v>
      </c>
      <c r="B2372" t="s">
        <v>135</v>
      </c>
      <c r="C2372" s="5" t="str">
        <f t="shared" si="102"/>
        <v xml:space="preserve"> кв. 131</v>
      </c>
      <c r="D2372" s="5" t="str">
        <f>CONCATENATE(A2372,C2372)</f>
        <v>Беломорская ул., дом 13 к.2 кв. 131</v>
      </c>
      <c r="E2372" s="3">
        <f>HYPERLINK("https://sao.dolgi.msk.ru/account/1404234713/", 1404234713)</f>
        <v>1404234713</v>
      </c>
      <c r="F2372">
        <v>1673.23</v>
      </c>
    </row>
    <row r="2373" spans="1:6" x14ac:dyDescent="0.25">
      <c r="A2373" t="s">
        <v>641</v>
      </c>
      <c r="B2373" t="s">
        <v>136</v>
      </c>
      <c r="C2373" s="5" t="str">
        <f t="shared" si="102"/>
        <v xml:space="preserve"> кв. 132</v>
      </c>
      <c r="D2373" s="5" t="str">
        <f>CONCATENATE(A2373,C2373)</f>
        <v>Беломорская ул., дом 13 к.2 кв. 132</v>
      </c>
      <c r="E2373" s="3">
        <f>HYPERLINK("https://sao.dolgi.msk.ru/account/1404236137/", 1404236137)</f>
        <v>1404236137</v>
      </c>
      <c r="F2373">
        <v>1214.5899999999999</v>
      </c>
    </row>
    <row r="2374" spans="1:6" x14ac:dyDescent="0.25">
      <c r="A2374" t="s">
        <v>641</v>
      </c>
      <c r="B2374" t="s">
        <v>137</v>
      </c>
      <c r="C2374" s="5" t="str">
        <f t="shared" si="102"/>
        <v xml:space="preserve"> кв. 133</v>
      </c>
      <c r="D2374" s="5" t="str">
        <f>CONCATENATE(A2374,C2374)</f>
        <v>Беломорская ул., дом 13 к.2 кв. 133</v>
      </c>
      <c r="E2374" s="3">
        <f>HYPERLINK("https://sao.dolgi.msk.ru/account/1404235206/", 1404235206)</f>
        <v>1404235206</v>
      </c>
      <c r="F2374">
        <v>2226.75</v>
      </c>
    </row>
    <row r="2375" spans="1:6" x14ac:dyDescent="0.25">
      <c r="A2375" t="s">
        <v>641</v>
      </c>
      <c r="B2375" t="s">
        <v>138</v>
      </c>
      <c r="C2375" s="5" t="str">
        <f t="shared" si="102"/>
        <v xml:space="preserve"> кв. 134</v>
      </c>
      <c r="D2375" s="5" t="str">
        <f>CONCATENATE(A2375,C2375)</f>
        <v>Беломорская ул., дом 13 к.2 кв. 134</v>
      </c>
      <c r="E2375" s="3">
        <f>HYPERLINK("https://sao.dolgi.msk.ru/account/1404235863/", 1404235863)</f>
        <v>1404235863</v>
      </c>
      <c r="F2375">
        <v>1277.8499999999999</v>
      </c>
    </row>
    <row r="2376" spans="1:6" x14ac:dyDescent="0.25">
      <c r="A2376" t="s">
        <v>642</v>
      </c>
      <c r="B2376" t="s">
        <v>5</v>
      </c>
      <c r="C2376" s="5" t="str">
        <f t="shared" si="102"/>
        <v xml:space="preserve"> кв. 1</v>
      </c>
      <c r="D2376" s="5" t="str">
        <f>CONCATENATE(A2376,C2376)</f>
        <v>Беломорская ул., дом 14 к.1 кв. 1</v>
      </c>
      <c r="E2376" s="3">
        <f>HYPERLINK("https://sao.dolgi.msk.ru/account/1404236647/", 1404236647)</f>
        <v>1404236647</v>
      </c>
      <c r="F2376">
        <v>1934.5</v>
      </c>
    </row>
    <row r="2377" spans="1:6" x14ac:dyDescent="0.25">
      <c r="A2377" t="s">
        <v>642</v>
      </c>
      <c r="B2377" t="s">
        <v>6</v>
      </c>
      <c r="C2377" s="5" t="str">
        <f t="shared" si="102"/>
        <v xml:space="preserve"> кв. 2</v>
      </c>
      <c r="D2377" s="5" t="str">
        <f>CONCATENATE(A2377,C2377)</f>
        <v>Беломорская ул., дом 14 к.1 кв. 2</v>
      </c>
      <c r="E2377" s="3">
        <f>HYPERLINK("https://sao.dolgi.msk.ru/account/1404237199/", 1404237199)</f>
        <v>1404237199</v>
      </c>
      <c r="F2377">
        <v>1417.75</v>
      </c>
    </row>
    <row r="2378" spans="1:6" x14ac:dyDescent="0.25">
      <c r="A2378" t="s">
        <v>642</v>
      </c>
      <c r="B2378" t="s">
        <v>7</v>
      </c>
      <c r="C2378" s="5" t="str">
        <f t="shared" si="102"/>
        <v xml:space="preserve"> кв. 3</v>
      </c>
      <c r="D2378" s="5" t="str">
        <f>CONCATENATE(A2378,C2378)</f>
        <v>Беломорская ул., дом 14 к.1 кв. 3</v>
      </c>
      <c r="E2378" s="3">
        <f>HYPERLINK("https://sao.dolgi.msk.ru/account/1404236655/", 1404236655)</f>
        <v>1404236655</v>
      </c>
      <c r="F2378">
        <v>946.05</v>
      </c>
    </row>
    <row r="2379" spans="1:6" hidden="1" x14ac:dyDescent="0.25">
      <c r="A2379" t="s">
        <v>642</v>
      </c>
      <c r="B2379" t="s">
        <v>8</v>
      </c>
      <c r="E2379" s="3">
        <f>HYPERLINK("https://sao.dolgi.msk.ru/account/1404237623/", 1404237623)</f>
        <v>1404237623</v>
      </c>
      <c r="F2379">
        <v>-2872.23</v>
      </c>
    </row>
    <row r="2380" spans="1:6" x14ac:dyDescent="0.25">
      <c r="A2380" t="s">
        <v>642</v>
      </c>
      <c r="B2380" t="s">
        <v>9</v>
      </c>
      <c r="C2380" s="5" t="str">
        <f>" кв. "&amp;B2380</f>
        <v xml:space="preserve"> кв. 5</v>
      </c>
      <c r="D2380" s="5" t="str">
        <f>CONCATENATE(A2380,C2380)</f>
        <v>Беломорская ул., дом 14 к.1 кв. 5</v>
      </c>
      <c r="E2380" s="3">
        <f>HYPERLINK("https://sao.dolgi.msk.ru/account/1404236268/", 1404236268)</f>
        <v>1404236268</v>
      </c>
      <c r="F2380">
        <v>2302.66</v>
      </c>
    </row>
    <row r="2381" spans="1:6" hidden="1" x14ac:dyDescent="0.25">
      <c r="A2381" t="s">
        <v>642</v>
      </c>
      <c r="B2381" t="s">
        <v>10</v>
      </c>
      <c r="E2381" s="3">
        <f>HYPERLINK("https://sao.dolgi.msk.ru/account/1404237789/", 1404237789)</f>
        <v>1404237789</v>
      </c>
      <c r="F2381">
        <v>0</v>
      </c>
    </row>
    <row r="2382" spans="1:6" hidden="1" x14ac:dyDescent="0.25">
      <c r="A2382" t="s">
        <v>642</v>
      </c>
      <c r="B2382" t="s">
        <v>11</v>
      </c>
      <c r="E2382" s="3">
        <f>HYPERLINK("https://sao.dolgi.msk.ru/account/1404236663/", 1404236663)</f>
        <v>1404236663</v>
      </c>
      <c r="F2382">
        <v>-2472.81</v>
      </c>
    </row>
    <row r="2383" spans="1:6" hidden="1" x14ac:dyDescent="0.25">
      <c r="A2383" t="s">
        <v>642</v>
      </c>
      <c r="B2383" t="s">
        <v>12</v>
      </c>
      <c r="E2383" s="3">
        <f>HYPERLINK("https://sao.dolgi.msk.ru/account/1404237383/", 1404237383)</f>
        <v>1404237383</v>
      </c>
      <c r="F2383">
        <v>-3452.68</v>
      </c>
    </row>
    <row r="2384" spans="1:6" hidden="1" x14ac:dyDescent="0.25">
      <c r="A2384" t="s">
        <v>642</v>
      </c>
      <c r="B2384" t="s">
        <v>13</v>
      </c>
      <c r="E2384" s="3">
        <f>HYPERLINK("https://sao.dolgi.msk.ru/account/1404236444/", 1404236444)</f>
        <v>1404236444</v>
      </c>
      <c r="F2384">
        <v>0</v>
      </c>
    </row>
    <row r="2385" spans="1:6" x14ac:dyDescent="0.25">
      <c r="A2385" t="s">
        <v>642</v>
      </c>
      <c r="B2385" t="s">
        <v>14</v>
      </c>
      <c r="C2385" s="5" t="str">
        <f>" кв. "&amp;B2385</f>
        <v xml:space="preserve"> кв. 10</v>
      </c>
      <c r="D2385" s="5" t="str">
        <f>CONCATENATE(A2385,C2385)</f>
        <v>Беломорская ул., дом 14 к.1 кв. 10</v>
      </c>
      <c r="E2385" s="3">
        <f>HYPERLINK("https://sao.dolgi.msk.ru/account/1404237228/", 1404237228)</f>
        <v>1404237228</v>
      </c>
      <c r="F2385">
        <v>1689.04</v>
      </c>
    </row>
    <row r="2386" spans="1:6" hidden="1" x14ac:dyDescent="0.25">
      <c r="A2386" t="s">
        <v>642</v>
      </c>
      <c r="B2386" t="s">
        <v>15</v>
      </c>
      <c r="E2386" s="3">
        <f>HYPERLINK("https://sao.dolgi.msk.ru/account/1404236698/", 1404236698)</f>
        <v>1404236698</v>
      </c>
      <c r="F2386">
        <v>-2468.1799999999998</v>
      </c>
    </row>
    <row r="2387" spans="1:6" hidden="1" x14ac:dyDescent="0.25">
      <c r="A2387" t="s">
        <v>642</v>
      </c>
      <c r="B2387" t="s">
        <v>16</v>
      </c>
      <c r="E2387" s="3">
        <f>HYPERLINK("https://sao.dolgi.msk.ru/account/1404236719/", 1404236719)</f>
        <v>1404236719</v>
      </c>
      <c r="F2387">
        <v>-3457.3</v>
      </c>
    </row>
    <row r="2388" spans="1:6" hidden="1" x14ac:dyDescent="0.25">
      <c r="A2388" t="s">
        <v>642</v>
      </c>
      <c r="B2388" t="s">
        <v>17</v>
      </c>
      <c r="E2388" s="3">
        <f>HYPERLINK("https://sao.dolgi.msk.ru/account/1404237615/", 1404237615)</f>
        <v>1404237615</v>
      </c>
      <c r="F2388">
        <v>-2829.86</v>
      </c>
    </row>
    <row r="2389" spans="1:6" hidden="1" x14ac:dyDescent="0.25">
      <c r="A2389" t="s">
        <v>642</v>
      </c>
      <c r="B2389" t="s">
        <v>18</v>
      </c>
      <c r="E2389" s="3">
        <f>HYPERLINK("https://sao.dolgi.msk.ru/account/1404236233/", 1404236233)</f>
        <v>1404236233</v>
      </c>
      <c r="F2389">
        <v>0</v>
      </c>
    </row>
    <row r="2390" spans="1:6" hidden="1" x14ac:dyDescent="0.25">
      <c r="A2390" t="s">
        <v>642</v>
      </c>
      <c r="B2390" t="s">
        <v>19</v>
      </c>
      <c r="E2390" s="3">
        <f>HYPERLINK("https://sao.dolgi.msk.ru/account/1404237754/", 1404237754)</f>
        <v>1404237754</v>
      </c>
      <c r="F2390">
        <v>-2472.81</v>
      </c>
    </row>
    <row r="2391" spans="1:6" hidden="1" x14ac:dyDescent="0.25">
      <c r="A2391" t="s">
        <v>642</v>
      </c>
      <c r="B2391" t="s">
        <v>20</v>
      </c>
      <c r="E2391" s="3">
        <f>HYPERLINK("https://sao.dolgi.msk.ru/account/1404237762/", 1404237762)</f>
        <v>1404237762</v>
      </c>
      <c r="F2391">
        <v>-3452.68</v>
      </c>
    </row>
    <row r="2392" spans="1:6" hidden="1" x14ac:dyDescent="0.25">
      <c r="A2392" t="s">
        <v>642</v>
      </c>
      <c r="B2392" t="s">
        <v>21</v>
      </c>
      <c r="E2392" s="3">
        <f>HYPERLINK("https://sao.dolgi.msk.ru/account/1404237527/", 1404237527)</f>
        <v>1404237527</v>
      </c>
      <c r="F2392">
        <v>0</v>
      </c>
    </row>
    <row r="2393" spans="1:6" hidden="1" x14ac:dyDescent="0.25">
      <c r="A2393" t="s">
        <v>642</v>
      </c>
      <c r="B2393" t="s">
        <v>22</v>
      </c>
      <c r="E2393" s="3">
        <f>HYPERLINK("https://sao.dolgi.msk.ru/account/1404237324/", 1404237324)</f>
        <v>1404237324</v>
      </c>
      <c r="F2393">
        <v>-2463.56</v>
      </c>
    </row>
    <row r="2394" spans="1:6" hidden="1" x14ac:dyDescent="0.25">
      <c r="A2394" t="s">
        <v>642</v>
      </c>
      <c r="B2394" t="s">
        <v>23</v>
      </c>
      <c r="E2394" s="3">
        <f>HYPERLINK("https://sao.dolgi.msk.ru/account/1404237551/", 1404237551)</f>
        <v>1404237551</v>
      </c>
      <c r="F2394">
        <v>-1558.59</v>
      </c>
    </row>
    <row r="2395" spans="1:6" hidden="1" x14ac:dyDescent="0.25">
      <c r="A2395" t="s">
        <v>642</v>
      </c>
      <c r="B2395" t="s">
        <v>24</v>
      </c>
      <c r="E2395" s="3">
        <f>HYPERLINK("https://sao.dolgi.msk.ru/account/1404236348/", 1404236348)</f>
        <v>1404236348</v>
      </c>
      <c r="F2395">
        <v>-2911.6</v>
      </c>
    </row>
    <row r="2396" spans="1:6" hidden="1" x14ac:dyDescent="0.25">
      <c r="A2396" t="s">
        <v>642</v>
      </c>
      <c r="B2396" t="s">
        <v>25</v>
      </c>
      <c r="E2396" s="3">
        <f>HYPERLINK("https://sao.dolgi.msk.ru/account/1404237519/", 1404237519)</f>
        <v>1404237519</v>
      </c>
      <c r="F2396">
        <v>-3175.94</v>
      </c>
    </row>
    <row r="2397" spans="1:6" hidden="1" x14ac:dyDescent="0.25">
      <c r="A2397" t="s">
        <v>642</v>
      </c>
      <c r="B2397" t="s">
        <v>26</v>
      </c>
      <c r="E2397" s="3">
        <f>HYPERLINK("https://sao.dolgi.msk.ru/account/1404236874/", 1404236874)</f>
        <v>1404236874</v>
      </c>
      <c r="F2397">
        <v>-2468.1799999999998</v>
      </c>
    </row>
    <row r="2398" spans="1:6" hidden="1" x14ac:dyDescent="0.25">
      <c r="A2398" t="s">
        <v>642</v>
      </c>
      <c r="B2398" t="s">
        <v>27</v>
      </c>
      <c r="E2398" s="3">
        <f>HYPERLINK("https://sao.dolgi.msk.ru/account/1404236831/", 1404236831)</f>
        <v>1404236831</v>
      </c>
      <c r="F2398">
        <v>-1710.17</v>
      </c>
    </row>
    <row r="2399" spans="1:6" hidden="1" x14ac:dyDescent="0.25">
      <c r="A2399" t="s">
        <v>642</v>
      </c>
      <c r="B2399" t="s">
        <v>28</v>
      </c>
      <c r="E2399" s="3">
        <f>HYPERLINK("https://sao.dolgi.msk.ru/account/1404236559/", 1404236559)</f>
        <v>1404236559</v>
      </c>
      <c r="F2399">
        <v>-2768.61</v>
      </c>
    </row>
    <row r="2400" spans="1:6" hidden="1" x14ac:dyDescent="0.25">
      <c r="A2400" t="s">
        <v>642</v>
      </c>
      <c r="B2400" t="s">
        <v>29</v>
      </c>
      <c r="E2400" s="3">
        <f>HYPERLINK("https://sao.dolgi.msk.ru/account/1404236583/", 1404236583)</f>
        <v>1404236583</v>
      </c>
      <c r="F2400">
        <v>-2389.6999999999998</v>
      </c>
    </row>
    <row r="2401" spans="1:6" hidden="1" x14ac:dyDescent="0.25">
      <c r="A2401" t="s">
        <v>642</v>
      </c>
      <c r="B2401" t="s">
        <v>30</v>
      </c>
      <c r="E2401" s="3">
        <f>HYPERLINK("https://sao.dolgi.msk.ru/account/1404237316/", 1404237316)</f>
        <v>1404237316</v>
      </c>
      <c r="F2401">
        <v>-2477.4299999999998</v>
      </c>
    </row>
    <row r="2402" spans="1:6" hidden="1" x14ac:dyDescent="0.25">
      <c r="A2402" t="s">
        <v>642</v>
      </c>
      <c r="B2402" t="s">
        <v>31</v>
      </c>
      <c r="E2402" s="3">
        <f>HYPERLINK("https://sao.dolgi.msk.ru/account/1404236612/", 1404236612)</f>
        <v>1404236612</v>
      </c>
      <c r="F2402">
        <v>-2472.81</v>
      </c>
    </row>
    <row r="2403" spans="1:6" hidden="1" x14ac:dyDescent="0.25">
      <c r="A2403" t="s">
        <v>642</v>
      </c>
      <c r="B2403" t="s">
        <v>32</v>
      </c>
      <c r="E2403" s="3">
        <f>HYPERLINK("https://sao.dolgi.msk.ru/account/1404236866/", 1404236866)</f>
        <v>1404236866</v>
      </c>
      <c r="F2403">
        <v>0</v>
      </c>
    </row>
    <row r="2404" spans="1:6" hidden="1" x14ac:dyDescent="0.25">
      <c r="A2404" t="s">
        <v>642</v>
      </c>
      <c r="B2404" t="s">
        <v>33</v>
      </c>
      <c r="E2404" s="3">
        <f>HYPERLINK("https://sao.dolgi.msk.ru/account/1404236786/", 1404236786)</f>
        <v>1404236786</v>
      </c>
      <c r="F2404">
        <v>0</v>
      </c>
    </row>
    <row r="2405" spans="1:6" hidden="1" x14ac:dyDescent="0.25">
      <c r="A2405" t="s">
        <v>642</v>
      </c>
      <c r="B2405" t="s">
        <v>34</v>
      </c>
      <c r="E2405" s="3">
        <f>HYPERLINK("https://sao.dolgi.msk.ru/account/1404237252/", 1404237252)</f>
        <v>1404237252</v>
      </c>
      <c r="F2405">
        <v>0</v>
      </c>
    </row>
    <row r="2406" spans="1:6" hidden="1" x14ac:dyDescent="0.25">
      <c r="A2406" t="s">
        <v>642</v>
      </c>
      <c r="B2406" t="s">
        <v>35</v>
      </c>
      <c r="E2406" s="3">
        <f>HYPERLINK("https://sao.dolgi.msk.ru/account/1404236305/", 1404236305)</f>
        <v>1404236305</v>
      </c>
      <c r="F2406">
        <v>0</v>
      </c>
    </row>
    <row r="2407" spans="1:6" hidden="1" x14ac:dyDescent="0.25">
      <c r="A2407" t="s">
        <v>642</v>
      </c>
      <c r="B2407" t="s">
        <v>36</v>
      </c>
      <c r="E2407" s="3">
        <f>HYPERLINK("https://sao.dolgi.msk.ru/account/1404236778/", 1404236778)</f>
        <v>1404236778</v>
      </c>
      <c r="F2407">
        <v>-2322.98</v>
      </c>
    </row>
    <row r="2408" spans="1:6" hidden="1" x14ac:dyDescent="0.25">
      <c r="A2408" t="s">
        <v>642</v>
      </c>
      <c r="B2408" t="s">
        <v>37</v>
      </c>
      <c r="E2408" s="3">
        <f>HYPERLINK("https://sao.dolgi.msk.ru/account/1404237033/", 1404237033)</f>
        <v>1404237033</v>
      </c>
      <c r="F2408">
        <v>-3452.68</v>
      </c>
    </row>
    <row r="2409" spans="1:6" hidden="1" x14ac:dyDescent="0.25">
      <c r="A2409" t="s">
        <v>642</v>
      </c>
      <c r="B2409" t="s">
        <v>38</v>
      </c>
      <c r="E2409" s="3">
        <f>HYPERLINK("https://sao.dolgi.msk.ru/account/1404237658/", 1404237658)</f>
        <v>1404237658</v>
      </c>
      <c r="F2409">
        <v>-1564.49</v>
      </c>
    </row>
    <row r="2410" spans="1:6" hidden="1" x14ac:dyDescent="0.25">
      <c r="A2410" t="s">
        <v>642</v>
      </c>
      <c r="B2410" t="s">
        <v>39</v>
      </c>
      <c r="E2410" s="3">
        <f>HYPERLINK("https://sao.dolgi.msk.ru/account/1404236751/", 1404236751)</f>
        <v>1404236751</v>
      </c>
      <c r="F2410">
        <v>-1854.6</v>
      </c>
    </row>
    <row r="2411" spans="1:6" hidden="1" x14ac:dyDescent="0.25">
      <c r="A2411" t="s">
        <v>642</v>
      </c>
      <c r="B2411" t="s">
        <v>40</v>
      </c>
      <c r="E2411" s="3">
        <f>HYPERLINK("https://sao.dolgi.msk.ru/account/1404236495/", 1404236495)</f>
        <v>1404236495</v>
      </c>
      <c r="F2411">
        <v>-3535.88</v>
      </c>
    </row>
    <row r="2412" spans="1:6" x14ac:dyDescent="0.25">
      <c r="A2412" t="s">
        <v>642</v>
      </c>
      <c r="B2412" t="s">
        <v>41</v>
      </c>
      <c r="C2412" s="5" t="str">
        <f>" кв. "&amp;B2412</f>
        <v xml:space="preserve"> кв. 37</v>
      </c>
      <c r="D2412" s="5" t="str">
        <f>CONCATENATE(A2412,C2412)</f>
        <v>Беломорская ул., дом 14 к.1 кв. 37</v>
      </c>
      <c r="E2412" s="3">
        <f>HYPERLINK("https://sao.dolgi.msk.ru/account/1404237447/", 1404237447)</f>
        <v>1404237447</v>
      </c>
      <c r="F2412">
        <v>2362.7600000000002</v>
      </c>
    </row>
    <row r="2413" spans="1:6" hidden="1" x14ac:dyDescent="0.25">
      <c r="A2413" t="s">
        <v>642</v>
      </c>
      <c r="B2413" t="s">
        <v>42</v>
      </c>
      <c r="E2413" s="3">
        <f>HYPERLINK("https://sao.dolgi.msk.ru/account/1404237631/", 1404237631)</f>
        <v>1404237631</v>
      </c>
      <c r="F2413">
        <v>0</v>
      </c>
    </row>
    <row r="2414" spans="1:6" hidden="1" x14ac:dyDescent="0.25">
      <c r="A2414" t="s">
        <v>642</v>
      </c>
      <c r="B2414" t="s">
        <v>43</v>
      </c>
      <c r="E2414" s="3">
        <f>HYPERLINK("https://sao.dolgi.msk.ru/account/1404237244/", 1404237244)</f>
        <v>1404237244</v>
      </c>
      <c r="F2414">
        <v>-2468.1799999999998</v>
      </c>
    </row>
    <row r="2415" spans="1:6" hidden="1" x14ac:dyDescent="0.25">
      <c r="A2415" t="s">
        <v>642</v>
      </c>
      <c r="B2415" t="s">
        <v>44</v>
      </c>
      <c r="E2415" s="3">
        <f>HYPERLINK("https://sao.dolgi.msk.ru/account/1404237017/", 1404237017)</f>
        <v>1404237017</v>
      </c>
      <c r="F2415">
        <v>-2094.41</v>
      </c>
    </row>
    <row r="2416" spans="1:6" hidden="1" x14ac:dyDescent="0.25">
      <c r="A2416" t="s">
        <v>642</v>
      </c>
      <c r="B2416" t="s">
        <v>45</v>
      </c>
      <c r="E2416" s="3">
        <f>HYPERLINK("https://sao.dolgi.msk.ru/account/1404237009/", 1404237009)</f>
        <v>1404237009</v>
      </c>
      <c r="F2416">
        <v>-3452.68</v>
      </c>
    </row>
    <row r="2417" spans="1:6" hidden="1" x14ac:dyDescent="0.25">
      <c r="A2417" t="s">
        <v>642</v>
      </c>
      <c r="B2417" t="s">
        <v>46</v>
      </c>
      <c r="E2417" s="3">
        <f>HYPERLINK("https://sao.dolgi.msk.ru/account/1404236487/", 1404236487)</f>
        <v>1404236487</v>
      </c>
      <c r="F2417">
        <v>-2472.81</v>
      </c>
    </row>
    <row r="2418" spans="1:6" hidden="1" x14ac:dyDescent="0.25">
      <c r="A2418" t="s">
        <v>642</v>
      </c>
      <c r="B2418" t="s">
        <v>47</v>
      </c>
      <c r="E2418" s="3">
        <f>HYPERLINK("https://sao.dolgi.msk.ru/account/1404236479/", 1404236479)</f>
        <v>1404236479</v>
      </c>
      <c r="F2418">
        <v>-2477.4299999999998</v>
      </c>
    </row>
    <row r="2419" spans="1:6" hidden="1" x14ac:dyDescent="0.25">
      <c r="A2419" t="s">
        <v>642</v>
      </c>
      <c r="B2419" t="s">
        <v>48</v>
      </c>
      <c r="E2419" s="3">
        <f>HYPERLINK("https://sao.dolgi.msk.ru/account/1404236292/", 1404236292)</f>
        <v>1404236292</v>
      </c>
      <c r="F2419">
        <v>-2441.13</v>
      </c>
    </row>
    <row r="2420" spans="1:6" hidden="1" x14ac:dyDescent="0.25">
      <c r="A2420" t="s">
        <v>642</v>
      </c>
      <c r="B2420" t="s">
        <v>49</v>
      </c>
      <c r="E2420" s="3">
        <f>HYPERLINK("https://sao.dolgi.msk.ru/account/1404236743/", 1404236743)</f>
        <v>1404236743</v>
      </c>
      <c r="F2420">
        <v>-3457.3</v>
      </c>
    </row>
    <row r="2421" spans="1:6" hidden="1" x14ac:dyDescent="0.25">
      <c r="A2421" t="s">
        <v>642</v>
      </c>
      <c r="B2421" t="s">
        <v>50</v>
      </c>
      <c r="E2421" s="3">
        <f>HYPERLINK("https://sao.dolgi.msk.ru/account/1404237439/", 1404237439)</f>
        <v>1404237439</v>
      </c>
      <c r="F2421">
        <v>0</v>
      </c>
    </row>
    <row r="2422" spans="1:6" hidden="1" x14ac:dyDescent="0.25">
      <c r="A2422" t="s">
        <v>642</v>
      </c>
      <c r="B2422" t="s">
        <v>51</v>
      </c>
      <c r="E2422" s="3">
        <f>HYPERLINK("https://sao.dolgi.msk.ru/account/1404236284/", 1404236284)</f>
        <v>1404236284</v>
      </c>
      <c r="F2422">
        <v>-2472.81</v>
      </c>
    </row>
    <row r="2423" spans="1:6" hidden="1" x14ac:dyDescent="0.25">
      <c r="A2423" t="s">
        <v>642</v>
      </c>
      <c r="B2423" t="s">
        <v>52</v>
      </c>
      <c r="E2423" s="3">
        <f>HYPERLINK("https://sao.dolgi.msk.ru/account/1404237746/", 1404237746)</f>
        <v>1404237746</v>
      </c>
      <c r="F2423">
        <v>-3540.5</v>
      </c>
    </row>
    <row r="2424" spans="1:6" x14ac:dyDescent="0.25">
      <c r="A2424" t="s">
        <v>642</v>
      </c>
      <c r="B2424" t="s">
        <v>53</v>
      </c>
      <c r="C2424" s="5" t="str">
        <f>" кв. "&amp;B2424</f>
        <v xml:space="preserve"> кв. 49</v>
      </c>
      <c r="D2424" s="5" t="str">
        <f>CONCATENATE(A2424,C2424)</f>
        <v>Беломорская ул., дом 14 к.1 кв. 49</v>
      </c>
      <c r="E2424" s="3">
        <f>HYPERLINK("https://sao.dolgi.msk.ru/account/1404236735/", 1404236735)</f>
        <v>1404236735</v>
      </c>
      <c r="F2424">
        <v>2362.7600000000002</v>
      </c>
    </row>
    <row r="2425" spans="1:6" hidden="1" x14ac:dyDescent="0.25">
      <c r="A2425" t="s">
        <v>642</v>
      </c>
      <c r="B2425" t="s">
        <v>54</v>
      </c>
      <c r="E2425" s="3">
        <f>HYPERLINK("https://sao.dolgi.msk.ru/account/1404237025/", 1404237025)</f>
        <v>1404237025</v>
      </c>
      <c r="F2425">
        <v>-1700.92</v>
      </c>
    </row>
    <row r="2426" spans="1:6" x14ac:dyDescent="0.25">
      <c r="A2426" t="s">
        <v>642</v>
      </c>
      <c r="B2426" t="s">
        <v>55</v>
      </c>
      <c r="C2426" s="5" t="str">
        <f t="shared" ref="C2426:C2427" si="103">" кв. "&amp;B2426</f>
        <v xml:space="preserve"> кв. 51</v>
      </c>
      <c r="D2426" s="5" t="str">
        <f>CONCATENATE(A2426,C2426)</f>
        <v>Беломорская ул., дом 14 к.1 кв. 51</v>
      </c>
      <c r="E2426" s="3">
        <f>HYPERLINK("https://sao.dolgi.msk.ru/account/1404237607/", 1404237607)</f>
        <v>1404237607</v>
      </c>
      <c r="F2426">
        <v>1695.37</v>
      </c>
    </row>
    <row r="2427" spans="1:6" x14ac:dyDescent="0.25">
      <c r="A2427" t="s">
        <v>642</v>
      </c>
      <c r="B2427" t="s">
        <v>56</v>
      </c>
      <c r="C2427" s="5" t="str">
        <f t="shared" si="103"/>
        <v xml:space="preserve"> кв. 52</v>
      </c>
      <c r="D2427" s="5" t="str">
        <f>CONCATENATE(A2427,C2427)</f>
        <v>Беломорская ул., дом 14 к.1 кв. 52</v>
      </c>
      <c r="E2427" s="3">
        <f>HYPERLINK("https://sao.dolgi.msk.ru/account/1404237594/", 1404237594)</f>
        <v>1404237594</v>
      </c>
      <c r="F2427">
        <v>2422.86</v>
      </c>
    </row>
    <row r="2428" spans="1:6" hidden="1" x14ac:dyDescent="0.25">
      <c r="A2428" t="s">
        <v>642</v>
      </c>
      <c r="B2428" t="s">
        <v>57</v>
      </c>
      <c r="E2428" s="3">
        <f>HYPERLINK("https://sao.dolgi.msk.ru/account/1404236962/", 1404236962)</f>
        <v>1404236962</v>
      </c>
      <c r="F2428">
        <v>-2703.91</v>
      </c>
    </row>
    <row r="2429" spans="1:6" hidden="1" x14ac:dyDescent="0.25">
      <c r="A2429" t="s">
        <v>642</v>
      </c>
      <c r="B2429" t="s">
        <v>58</v>
      </c>
      <c r="E2429" s="3">
        <f>HYPERLINK("https://sao.dolgi.msk.ru/account/1404236989/", 1404236989)</f>
        <v>1404236989</v>
      </c>
      <c r="F2429">
        <v>0</v>
      </c>
    </row>
    <row r="2430" spans="1:6" hidden="1" x14ac:dyDescent="0.25">
      <c r="A2430" t="s">
        <v>642</v>
      </c>
      <c r="B2430" t="s">
        <v>59</v>
      </c>
      <c r="E2430" s="3">
        <f>HYPERLINK("https://sao.dolgi.msk.ru/account/1404237391/", 1404237391)</f>
        <v>1404237391</v>
      </c>
      <c r="F2430">
        <v>-2477.4299999999998</v>
      </c>
    </row>
    <row r="2431" spans="1:6" x14ac:dyDescent="0.25">
      <c r="A2431" t="s">
        <v>642</v>
      </c>
      <c r="B2431" t="s">
        <v>60</v>
      </c>
      <c r="C2431" s="5" t="str">
        <f>" кв. "&amp;B2431</f>
        <v xml:space="preserve"> кв. 56</v>
      </c>
      <c r="D2431" s="5" t="str">
        <f>CONCATENATE(A2431,C2431)</f>
        <v>Беломорская ул., дом 14 к.1 кв. 56</v>
      </c>
      <c r="E2431" s="3">
        <f>HYPERLINK("https://sao.dolgi.msk.ru/account/1404236356/", 1404236356)</f>
        <v>1404236356</v>
      </c>
      <c r="F2431">
        <v>2419.6999999999998</v>
      </c>
    </row>
    <row r="2432" spans="1:6" hidden="1" x14ac:dyDescent="0.25">
      <c r="A2432" t="s">
        <v>642</v>
      </c>
      <c r="B2432" t="s">
        <v>61</v>
      </c>
      <c r="E2432" s="3">
        <f>HYPERLINK("https://sao.dolgi.msk.ru/account/1404236452/", 1404236452)</f>
        <v>1404236452</v>
      </c>
      <c r="F2432">
        <v>-2552.33</v>
      </c>
    </row>
    <row r="2433" spans="1:6" x14ac:dyDescent="0.25">
      <c r="A2433" t="s">
        <v>642</v>
      </c>
      <c r="B2433" t="s">
        <v>62</v>
      </c>
      <c r="C2433" s="5" t="str">
        <f>" кв. "&amp;B2433</f>
        <v xml:space="preserve"> кв. 58</v>
      </c>
      <c r="D2433" s="5" t="str">
        <f>CONCATENATE(A2433,C2433)</f>
        <v>Беломорская ул., дом 14 к.1 кв. 58</v>
      </c>
      <c r="E2433" s="3">
        <f>HYPERLINK("https://sao.dolgi.msk.ru/account/1404237404/", 1404237404)</f>
        <v>1404237404</v>
      </c>
      <c r="F2433">
        <v>1689.04</v>
      </c>
    </row>
    <row r="2434" spans="1:6" hidden="1" x14ac:dyDescent="0.25">
      <c r="A2434" t="s">
        <v>642</v>
      </c>
      <c r="B2434" t="s">
        <v>63</v>
      </c>
      <c r="E2434" s="3">
        <f>HYPERLINK("https://sao.dolgi.msk.ru/account/1404236938/", 1404236938)</f>
        <v>1404236938</v>
      </c>
      <c r="F2434">
        <v>0</v>
      </c>
    </row>
    <row r="2435" spans="1:6" hidden="1" x14ac:dyDescent="0.25">
      <c r="A2435" t="s">
        <v>642</v>
      </c>
      <c r="B2435" t="s">
        <v>64</v>
      </c>
      <c r="E2435" s="3">
        <f>HYPERLINK("https://sao.dolgi.msk.ru/account/1404237578/", 1404237578)</f>
        <v>1404237578</v>
      </c>
      <c r="F2435">
        <v>0</v>
      </c>
    </row>
    <row r="2436" spans="1:6" hidden="1" x14ac:dyDescent="0.25">
      <c r="A2436" t="s">
        <v>642</v>
      </c>
      <c r="B2436" t="s">
        <v>65</v>
      </c>
      <c r="E2436" s="3">
        <f>HYPERLINK("https://sao.dolgi.msk.ru/account/1404237092/", 1404237092)</f>
        <v>1404237092</v>
      </c>
      <c r="F2436">
        <v>0</v>
      </c>
    </row>
    <row r="2437" spans="1:6" hidden="1" x14ac:dyDescent="0.25">
      <c r="A2437" t="s">
        <v>642</v>
      </c>
      <c r="B2437" t="s">
        <v>66</v>
      </c>
      <c r="E2437" s="3">
        <f>HYPERLINK("https://sao.dolgi.msk.ru/account/1404236401/", 1404236401)</f>
        <v>1404236401</v>
      </c>
      <c r="F2437">
        <v>-2482.0500000000002</v>
      </c>
    </row>
    <row r="2438" spans="1:6" hidden="1" x14ac:dyDescent="0.25">
      <c r="A2438" t="s">
        <v>642</v>
      </c>
      <c r="B2438" t="s">
        <v>67</v>
      </c>
      <c r="E2438" s="3">
        <f>HYPERLINK("https://sao.dolgi.msk.ru/account/1404237738/", 1404237738)</f>
        <v>1404237738</v>
      </c>
      <c r="F2438">
        <v>-1705.54</v>
      </c>
    </row>
    <row r="2439" spans="1:6" hidden="1" x14ac:dyDescent="0.25">
      <c r="A2439" t="s">
        <v>642</v>
      </c>
      <c r="B2439" t="s">
        <v>68</v>
      </c>
      <c r="E2439" s="3">
        <f>HYPERLINK("https://sao.dolgi.msk.ru/account/1404237156/", 1404237156)</f>
        <v>1404237156</v>
      </c>
      <c r="F2439">
        <v>0</v>
      </c>
    </row>
    <row r="2440" spans="1:6" hidden="1" x14ac:dyDescent="0.25">
      <c r="A2440" t="s">
        <v>642</v>
      </c>
      <c r="B2440" t="s">
        <v>69</v>
      </c>
      <c r="E2440" s="3">
        <f>HYPERLINK("https://sao.dolgi.msk.ru/account/1404237164/", 1404237164)</f>
        <v>1404237164</v>
      </c>
      <c r="F2440">
        <v>-3457.3</v>
      </c>
    </row>
    <row r="2441" spans="1:6" hidden="1" x14ac:dyDescent="0.25">
      <c r="A2441" t="s">
        <v>642</v>
      </c>
      <c r="B2441" t="s">
        <v>70</v>
      </c>
      <c r="E2441" s="3">
        <f>HYPERLINK("https://sao.dolgi.msk.ru/account/1404237586/", 1404237586)</f>
        <v>1404237586</v>
      </c>
      <c r="F2441">
        <v>-2472.81</v>
      </c>
    </row>
    <row r="2442" spans="1:6" hidden="1" x14ac:dyDescent="0.25">
      <c r="A2442" t="s">
        <v>642</v>
      </c>
      <c r="B2442" t="s">
        <v>71</v>
      </c>
      <c r="E2442" s="3">
        <f>HYPERLINK("https://sao.dolgi.msk.ru/account/1404236241/", 1404236241)</f>
        <v>1404236241</v>
      </c>
      <c r="F2442">
        <v>-2468.1799999999998</v>
      </c>
    </row>
    <row r="2443" spans="1:6" hidden="1" x14ac:dyDescent="0.25">
      <c r="A2443" t="s">
        <v>642</v>
      </c>
      <c r="B2443" t="s">
        <v>72</v>
      </c>
      <c r="E2443" s="3">
        <f>HYPERLINK("https://sao.dolgi.msk.ru/account/1404236954/", 1404236954)</f>
        <v>1404236954</v>
      </c>
      <c r="F2443">
        <v>-3545.12</v>
      </c>
    </row>
    <row r="2444" spans="1:6" hidden="1" x14ac:dyDescent="0.25">
      <c r="A2444" t="s">
        <v>642</v>
      </c>
      <c r="B2444" t="s">
        <v>73</v>
      </c>
      <c r="E2444" s="3">
        <f>HYPERLINK("https://sao.dolgi.msk.ru/account/1404236639/", 1404236639)</f>
        <v>1404236639</v>
      </c>
      <c r="F2444">
        <v>-3073.58</v>
      </c>
    </row>
    <row r="2445" spans="1:6" hidden="1" x14ac:dyDescent="0.25">
      <c r="A2445" t="s">
        <v>642</v>
      </c>
      <c r="B2445" t="s">
        <v>74</v>
      </c>
      <c r="E2445" s="3">
        <f>HYPERLINK("https://sao.dolgi.msk.ru/account/1404236428/", 1404236428)</f>
        <v>1404236428</v>
      </c>
      <c r="F2445">
        <v>-1466.93</v>
      </c>
    </row>
    <row r="2446" spans="1:6" x14ac:dyDescent="0.25">
      <c r="A2446" t="s">
        <v>642</v>
      </c>
      <c r="B2446" t="s">
        <v>75</v>
      </c>
      <c r="C2446" s="5" t="str">
        <f>" кв. "&amp;B2446</f>
        <v xml:space="preserve"> кв. 71</v>
      </c>
      <c r="D2446" s="5" t="str">
        <f>CONCATENATE(A2446,C2446)</f>
        <v>Беломорская ул., дом 14 к.1 кв. 71</v>
      </c>
      <c r="E2446" s="3">
        <f>HYPERLINK("https://sao.dolgi.msk.ru/account/1404237172/", 1404237172)</f>
        <v>1404237172</v>
      </c>
      <c r="F2446">
        <v>13.25</v>
      </c>
    </row>
    <row r="2447" spans="1:6" hidden="1" x14ac:dyDescent="0.25">
      <c r="A2447" t="s">
        <v>642</v>
      </c>
      <c r="B2447" t="s">
        <v>76</v>
      </c>
      <c r="E2447" s="3">
        <f>HYPERLINK("https://sao.dolgi.msk.ru/account/1404237412/", 1404237412)</f>
        <v>1404237412</v>
      </c>
      <c r="F2447">
        <v>0</v>
      </c>
    </row>
    <row r="2448" spans="1:6" hidden="1" x14ac:dyDescent="0.25">
      <c r="A2448" t="s">
        <v>642</v>
      </c>
      <c r="B2448" t="s">
        <v>77</v>
      </c>
      <c r="E2448" s="3">
        <f>HYPERLINK("https://sao.dolgi.msk.ru/account/1404236436/", 1404236436)</f>
        <v>1404236436</v>
      </c>
      <c r="F2448">
        <v>-1089.92</v>
      </c>
    </row>
    <row r="2449" spans="1:6" hidden="1" x14ac:dyDescent="0.25">
      <c r="A2449" t="s">
        <v>642</v>
      </c>
      <c r="B2449" t="s">
        <v>78</v>
      </c>
      <c r="E2449" s="3">
        <f>HYPERLINK("https://sao.dolgi.msk.ru/account/1404237201/", 1404237201)</f>
        <v>1404237201</v>
      </c>
      <c r="F2449">
        <v>-1231.78</v>
      </c>
    </row>
    <row r="2450" spans="1:6" hidden="1" x14ac:dyDescent="0.25">
      <c r="A2450" t="s">
        <v>642</v>
      </c>
      <c r="B2450" t="s">
        <v>79</v>
      </c>
      <c r="E2450" s="3">
        <f>HYPERLINK("https://sao.dolgi.msk.ru/account/1404237797/", 1404237797)</f>
        <v>1404237797</v>
      </c>
      <c r="F2450">
        <v>-2472.81</v>
      </c>
    </row>
    <row r="2451" spans="1:6" hidden="1" x14ac:dyDescent="0.25">
      <c r="A2451" t="s">
        <v>642</v>
      </c>
      <c r="B2451" t="s">
        <v>80</v>
      </c>
      <c r="E2451" s="3">
        <f>HYPERLINK("https://sao.dolgi.msk.ru/account/1404236671/", 1404236671)</f>
        <v>1404236671</v>
      </c>
      <c r="F2451">
        <v>-3124.12</v>
      </c>
    </row>
    <row r="2452" spans="1:6" hidden="1" x14ac:dyDescent="0.25">
      <c r="A2452" t="s">
        <v>642</v>
      </c>
      <c r="B2452" t="s">
        <v>81</v>
      </c>
      <c r="E2452" s="3">
        <f>HYPERLINK("https://sao.dolgi.msk.ru/account/1404237236/", 1404237236)</f>
        <v>1404237236</v>
      </c>
      <c r="F2452">
        <v>-3277.22</v>
      </c>
    </row>
    <row r="2453" spans="1:6" hidden="1" x14ac:dyDescent="0.25">
      <c r="A2453" t="s">
        <v>642</v>
      </c>
      <c r="B2453" t="s">
        <v>82</v>
      </c>
      <c r="E2453" s="3">
        <f>HYPERLINK("https://sao.dolgi.msk.ru/account/1404236276/", 1404236276)</f>
        <v>1404236276</v>
      </c>
      <c r="F2453">
        <v>-2277.66</v>
      </c>
    </row>
    <row r="2454" spans="1:6" hidden="1" x14ac:dyDescent="0.25">
      <c r="A2454" t="s">
        <v>642</v>
      </c>
      <c r="B2454" t="s">
        <v>83</v>
      </c>
      <c r="E2454" s="3">
        <f>HYPERLINK("https://sao.dolgi.msk.ru/account/1404237375/", 1404237375)</f>
        <v>1404237375</v>
      </c>
      <c r="F2454">
        <v>-2472.81</v>
      </c>
    </row>
    <row r="2455" spans="1:6" hidden="1" x14ac:dyDescent="0.25">
      <c r="A2455" t="s">
        <v>642</v>
      </c>
      <c r="B2455" t="s">
        <v>84</v>
      </c>
      <c r="E2455" s="3">
        <f>HYPERLINK("https://sao.dolgi.msk.ru/account/1404236946/", 1404236946)</f>
        <v>1404236946</v>
      </c>
      <c r="F2455">
        <v>-2837.65</v>
      </c>
    </row>
    <row r="2456" spans="1:6" hidden="1" x14ac:dyDescent="0.25">
      <c r="A2456" t="s">
        <v>642</v>
      </c>
      <c r="B2456" t="s">
        <v>85</v>
      </c>
      <c r="E2456" s="3">
        <f>HYPERLINK("https://sao.dolgi.msk.ru/account/1404236567/", 1404236567)</f>
        <v>1404236567</v>
      </c>
      <c r="F2456">
        <v>-3452.68</v>
      </c>
    </row>
    <row r="2457" spans="1:6" hidden="1" x14ac:dyDescent="0.25">
      <c r="A2457" t="s">
        <v>642</v>
      </c>
      <c r="B2457" t="s">
        <v>86</v>
      </c>
      <c r="E2457" s="3">
        <f>HYPERLINK("https://sao.dolgi.msk.ru/account/1404236823/", 1404236823)</f>
        <v>1404236823</v>
      </c>
      <c r="F2457">
        <v>-1556.7</v>
      </c>
    </row>
    <row r="2458" spans="1:6" hidden="1" x14ac:dyDescent="0.25">
      <c r="A2458" t="s">
        <v>642</v>
      </c>
      <c r="B2458" t="s">
        <v>87</v>
      </c>
      <c r="E2458" s="3">
        <f>HYPERLINK("https://sao.dolgi.msk.ru/account/1404237308/", 1404237308)</f>
        <v>1404237308</v>
      </c>
      <c r="F2458">
        <v>0</v>
      </c>
    </row>
    <row r="2459" spans="1:6" hidden="1" x14ac:dyDescent="0.25">
      <c r="A2459" t="s">
        <v>642</v>
      </c>
      <c r="B2459" t="s">
        <v>88</v>
      </c>
      <c r="E2459" s="3">
        <f>HYPERLINK("https://sao.dolgi.msk.ru/account/1404236575/", 1404236575)</f>
        <v>1404236575</v>
      </c>
      <c r="F2459">
        <v>-3369.49</v>
      </c>
    </row>
    <row r="2460" spans="1:6" x14ac:dyDescent="0.25">
      <c r="A2460" t="s">
        <v>642</v>
      </c>
      <c r="B2460" t="s">
        <v>89</v>
      </c>
      <c r="C2460" s="5" t="str">
        <f>" кв. "&amp;B2460</f>
        <v xml:space="preserve"> кв. 85</v>
      </c>
      <c r="D2460" s="5" t="str">
        <f>CONCATENATE(A2460,C2460)</f>
        <v>Беломорская ул., дом 14 к.1 кв. 85</v>
      </c>
      <c r="E2460" s="3">
        <f>HYPERLINK("https://sao.dolgi.msk.ru/account/1404236209/", 1404236209)</f>
        <v>1404236209</v>
      </c>
      <c r="F2460">
        <v>2369.09</v>
      </c>
    </row>
    <row r="2461" spans="1:6" hidden="1" x14ac:dyDescent="0.25">
      <c r="A2461" t="s">
        <v>642</v>
      </c>
      <c r="B2461" t="s">
        <v>90</v>
      </c>
      <c r="E2461" s="3">
        <f>HYPERLINK("https://sao.dolgi.msk.ru/account/1404237818/", 1404237818)</f>
        <v>1404237818</v>
      </c>
      <c r="F2461">
        <v>-2468.1799999999998</v>
      </c>
    </row>
    <row r="2462" spans="1:6" hidden="1" x14ac:dyDescent="0.25">
      <c r="A2462" t="s">
        <v>642</v>
      </c>
      <c r="B2462" t="s">
        <v>91</v>
      </c>
      <c r="E2462" s="3">
        <f>HYPERLINK("https://sao.dolgi.msk.ru/account/1404236372/", 1404236372)</f>
        <v>1404236372</v>
      </c>
      <c r="F2462">
        <v>-1835.16</v>
      </c>
    </row>
    <row r="2463" spans="1:6" hidden="1" x14ac:dyDescent="0.25">
      <c r="A2463" t="s">
        <v>642</v>
      </c>
      <c r="B2463" t="s">
        <v>92</v>
      </c>
      <c r="E2463" s="3">
        <f>HYPERLINK("https://sao.dolgi.msk.ru/account/1404237455/", 1404237455)</f>
        <v>1404237455</v>
      </c>
      <c r="F2463">
        <v>-2340.9299999999998</v>
      </c>
    </row>
    <row r="2464" spans="1:6" hidden="1" x14ac:dyDescent="0.25">
      <c r="A2464" t="s">
        <v>642</v>
      </c>
      <c r="B2464" t="s">
        <v>93</v>
      </c>
      <c r="E2464" s="3">
        <f>HYPERLINK("https://sao.dolgi.msk.ru/account/1404236911/", 1404236911)</f>
        <v>1404236911</v>
      </c>
      <c r="F2464">
        <v>0</v>
      </c>
    </row>
    <row r="2465" spans="1:6" hidden="1" x14ac:dyDescent="0.25">
      <c r="A2465" t="s">
        <v>642</v>
      </c>
      <c r="B2465" t="s">
        <v>94</v>
      </c>
      <c r="E2465" s="3">
        <f>HYPERLINK("https://sao.dolgi.msk.ru/account/1404236997/", 1404236997)</f>
        <v>1404236997</v>
      </c>
      <c r="F2465">
        <v>0</v>
      </c>
    </row>
    <row r="2466" spans="1:6" hidden="1" x14ac:dyDescent="0.25">
      <c r="A2466" t="s">
        <v>642</v>
      </c>
      <c r="B2466" t="s">
        <v>95</v>
      </c>
      <c r="E2466" s="3">
        <f>HYPERLINK("https://sao.dolgi.msk.ru/account/1404236508/", 1404236508)</f>
        <v>1404236508</v>
      </c>
      <c r="F2466">
        <v>-2078.6</v>
      </c>
    </row>
    <row r="2467" spans="1:6" hidden="1" x14ac:dyDescent="0.25">
      <c r="A2467" t="s">
        <v>642</v>
      </c>
      <c r="B2467" t="s">
        <v>96</v>
      </c>
      <c r="E2467" s="3">
        <f>HYPERLINK("https://sao.dolgi.msk.ru/account/1404236516/", 1404236516)</f>
        <v>1404236516</v>
      </c>
      <c r="F2467">
        <v>-3457.3</v>
      </c>
    </row>
    <row r="2468" spans="1:6" hidden="1" x14ac:dyDescent="0.25">
      <c r="A2468" t="s">
        <v>642</v>
      </c>
      <c r="B2468" t="s">
        <v>97</v>
      </c>
      <c r="E2468" s="3">
        <f>HYPERLINK("https://sao.dolgi.msk.ru/account/1404237084/", 1404237084)</f>
        <v>1404237084</v>
      </c>
      <c r="F2468">
        <v>-3526.63</v>
      </c>
    </row>
    <row r="2469" spans="1:6" hidden="1" x14ac:dyDescent="0.25">
      <c r="A2469" t="s">
        <v>642</v>
      </c>
      <c r="B2469" t="s">
        <v>98</v>
      </c>
      <c r="E2469" s="3">
        <f>HYPERLINK("https://sao.dolgi.msk.ru/account/1404237279/", 1404237279)</f>
        <v>1404237279</v>
      </c>
      <c r="F2469">
        <v>-2472.81</v>
      </c>
    </row>
    <row r="2470" spans="1:6" hidden="1" x14ac:dyDescent="0.25">
      <c r="A2470" t="s">
        <v>642</v>
      </c>
      <c r="B2470" t="s">
        <v>99</v>
      </c>
      <c r="E2470" s="3">
        <f>HYPERLINK("https://sao.dolgi.msk.ru/account/1404237332/", 1404237332)</f>
        <v>1404237332</v>
      </c>
      <c r="F2470">
        <v>-1560.61</v>
      </c>
    </row>
    <row r="2471" spans="1:6" hidden="1" x14ac:dyDescent="0.25">
      <c r="A2471" t="s">
        <v>642</v>
      </c>
      <c r="B2471" t="s">
        <v>100</v>
      </c>
      <c r="E2471" s="3">
        <f>HYPERLINK("https://sao.dolgi.msk.ru/account/1404237666/", 1404237666)</f>
        <v>1404237666</v>
      </c>
      <c r="F2471">
        <v>-3452.68</v>
      </c>
    </row>
    <row r="2472" spans="1:6" hidden="1" x14ac:dyDescent="0.25">
      <c r="A2472" t="s">
        <v>642</v>
      </c>
      <c r="B2472" t="s">
        <v>101</v>
      </c>
      <c r="E2472" s="3">
        <f>HYPERLINK("https://sao.dolgi.msk.ru/account/1404237842/", 1404237842)</f>
        <v>1404237842</v>
      </c>
      <c r="F2472">
        <v>-3531.25</v>
      </c>
    </row>
    <row r="2473" spans="1:6" hidden="1" x14ac:dyDescent="0.25">
      <c r="A2473" t="s">
        <v>642</v>
      </c>
      <c r="B2473" t="s">
        <v>102</v>
      </c>
      <c r="E2473" s="3">
        <f>HYPERLINK("https://sao.dolgi.msk.ru/account/1404236524/", 1404236524)</f>
        <v>1404236524</v>
      </c>
      <c r="F2473">
        <v>-2078.6</v>
      </c>
    </row>
    <row r="2474" spans="1:6" hidden="1" x14ac:dyDescent="0.25">
      <c r="A2474" t="s">
        <v>642</v>
      </c>
      <c r="B2474" t="s">
        <v>103</v>
      </c>
      <c r="E2474" s="3">
        <f>HYPERLINK("https://sao.dolgi.msk.ru/account/1404237463/", 1404237463)</f>
        <v>1404237463</v>
      </c>
      <c r="F2474">
        <v>0</v>
      </c>
    </row>
    <row r="2475" spans="1:6" hidden="1" x14ac:dyDescent="0.25">
      <c r="A2475" t="s">
        <v>642</v>
      </c>
      <c r="B2475" t="s">
        <v>104</v>
      </c>
      <c r="E2475" s="3">
        <f>HYPERLINK("https://sao.dolgi.msk.ru/account/1404237287/", 1404237287)</f>
        <v>1404237287</v>
      </c>
      <c r="F2475">
        <v>-2239.59</v>
      </c>
    </row>
    <row r="2476" spans="1:6" x14ac:dyDescent="0.25">
      <c r="A2476" t="s">
        <v>642</v>
      </c>
      <c r="B2476" t="s">
        <v>105</v>
      </c>
      <c r="C2476" s="5" t="str">
        <f>" кв. "&amp;B2476</f>
        <v xml:space="preserve"> кв. 101</v>
      </c>
      <c r="D2476" s="5" t="str">
        <f>CONCATENATE(A2476,C2476)</f>
        <v>Беломорская ул., дом 14 к.1 кв. 101</v>
      </c>
      <c r="E2476" s="3">
        <f>HYPERLINK("https://sao.dolgi.msk.ru/account/1404236532/", 1404236532)</f>
        <v>1404236532</v>
      </c>
      <c r="F2476">
        <v>2419.6999999999998</v>
      </c>
    </row>
    <row r="2477" spans="1:6" hidden="1" x14ac:dyDescent="0.25">
      <c r="A2477" t="s">
        <v>642</v>
      </c>
      <c r="B2477" t="s">
        <v>106</v>
      </c>
      <c r="E2477" s="3">
        <f>HYPERLINK("https://sao.dolgi.msk.ru/account/1404237295/", 1404237295)</f>
        <v>1404237295</v>
      </c>
      <c r="F2477">
        <v>0</v>
      </c>
    </row>
    <row r="2478" spans="1:6" hidden="1" x14ac:dyDescent="0.25">
      <c r="A2478" t="s">
        <v>642</v>
      </c>
      <c r="B2478" t="s">
        <v>107</v>
      </c>
      <c r="E2478" s="3">
        <f>HYPERLINK("https://sao.dolgi.msk.ru/account/1404236313/", 1404236313)</f>
        <v>1404236313</v>
      </c>
      <c r="F2478">
        <v>-2472.81</v>
      </c>
    </row>
    <row r="2479" spans="1:6" hidden="1" x14ac:dyDescent="0.25">
      <c r="A2479" t="s">
        <v>642</v>
      </c>
      <c r="B2479" t="s">
        <v>108</v>
      </c>
      <c r="E2479" s="3">
        <f>HYPERLINK("https://sao.dolgi.msk.ru/account/1404237674/", 1404237674)</f>
        <v>1404237674</v>
      </c>
      <c r="F2479">
        <v>-3448.06</v>
      </c>
    </row>
    <row r="2480" spans="1:6" x14ac:dyDescent="0.25">
      <c r="A2480" t="s">
        <v>642</v>
      </c>
      <c r="B2480" t="s">
        <v>109</v>
      </c>
      <c r="C2480" s="5" t="str">
        <f t="shared" ref="C2480:C2481" si="104">" кв. "&amp;B2480</f>
        <v xml:space="preserve"> кв. 105</v>
      </c>
      <c r="D2480" s="5" t="str">
        <f>CONCATENATE(A2480,C2480)</f>
        <v>Беломорская ул., дом 14 к.1 кв. 105</v>
      </c>
      <c r="E2480" s="3">
        <f>HYPERLINK("https://sao.dolgi.msk.ru/account/1404237105/", 1404237105)</f>
        <v>1404237105</v>
      </c>
      <c r="F2480">
        <v>2419.6999999999998</v>
      </c>
    </row>
    <row r="2481" spans="1:6" x14ac:dyDescent="0.25">
      <c r="A2481" t="s">
        <v>642</v>
      </c>
      <c r="B2481" t="s">
        <v>110</v>
      </c>
      <c r="C2481" s="5" t="str">
        <f t="shared" si="104"/>
        <v xml:space="preserve"> кв. 106</v>
      </c>
      <c r="D2481" s="5" t="str">
        <f>CONCATENATE(A2481,C2481)</f>
        <v>Беломорская ул., дом 14 к.1 кв. 106</v>
      </c>
      <c r="E2481" s="3">
        <f>HYPERLINK("https://sao.dolgi.msk.ru/account/1404237113/", 1404237113)</f>
        <v>1404237113</v>
      </c>
      <c r="F2481">
        <v>1685.88</v>
      </c>
    </row>
    <row r="2482" spans="1:6" hidden="1" x14ac:dyDescent="0.25">
      <c r="A2482" t="s">
        <v>642</v>
      </c>
      <c r="B2482" t="s">
        <v>111</v>
      </c>
      <c r="E2482" s="3">
        <f>HYPERLINK("https://sao.dolgi.msk.ru/account/1404236727/", 1404236727)</f>
        <v>1404236727</v>
      </c>
      <c r="F2482">
        <v>0</v>
      </c>
    </row>
    <row r="2483" spans="1:6" hidden="1" x14ac:dyDescent="0.25">
      <c r="A2483" t="s">
        <v>642</v>
      </c>
      <c r="B2483" t="s">
        <v>111</v>
      </c>
      <c r="E2483" s="3">
        <f>HYPERLINK("https://sao.dolgi.msk.ru/account/1404237498/", 1404237498)</f>
        <v>1404237498</v>
      </c>
      <c r="F2483">
        <v>0</v>
      </c>
    </row>
    <row r="2484" spans="1:6" x14ac:dyDescent="0.25">
      <c r="A2484" t="s">
        <v>642</v>
      </c>
      <c r="B2484" t="s">
        <v>112</v>
      </c>
      <c r="C2484" s="5" t="str">
        <f>" кв. "&amp;B2484</f>
        <v xml:space="preserve"> кв. 108</v>
      </c>
      <c r="D2484" s="5" t="str">
        <f>CONCATENATE(A2484,C2484)</f>
        <v>Беломорская ул., дом 14 к.1 кв. 108</v>
      </c>
      <c r="E2484" s="3">
        <f>HYPERLINK("https://sao.dolgi.msk.ru/account/1404237041/", 1404237041)</f>
        <v>1404237041</v>
      </c>
      <c r="F2484">
        <v>2362.7600000000002</v>
      </c>
    </row>
    <row r="2485" spans="1:6" hidden="1" x14ac:dyDescent="0.25">
      <c r="A2485" t="s">
        <v>642</v>
      </c>
      <c r="B2485" t="s">
        <v>113</v>
      </c>
      <c r="E2485" s="3">
        <f>HYPERLINK("https://sao.dolgi.msk.ru/account/1404236217/", 1404236217)</f>
        <v>1404236217</v>
      </c>
      <c r="F2485">
        <v>-3535.88</v>
      </c>
    </row>
    <row r="2486" spans="1:6" x14ac:dyDescent="0.25">
      <c r="A2486" t="s">
        <v>642</v>
      </c>
      <c r="B2486" t="s">
        <v>114</v>
      </c>
      <c r="C2486" s="5" t="str">
        <f>" кв. "&amp;B2486</f>
        <v xml:space="preserve"> кв. 110</v>
      </c>
      <c r="D2486" s="5" t="str">
        <f>CONCATENATE(A2486,C2486)</f>
        <v>Беломорская ул., дом 14 к.1 кв. 110</v>
      </c>
      <c r="E2486" s="3">
        <f>HYPERLINK("https://sao.dolgi.msk.ru/account/1404237068/", 1404237068)</f>
        <v>1404237068</v>
      </c>
      <c r="F2486">
        <v>1689.04</v>
      </c>
    </row>
    <row r="2487" spans="1:6" hidden="1" x14ac:dyDescent="0.25">
      <c r="A2487" t="s">
        <v>642</v>
      </c>
      <c r="B2487" t="s">
        <v>115</v>
      </c>
      <c r="E2487" s="3">
        <f>HYPERLINK("https://sao.dolgi.msk.ru/account/1404237471/", 1404237471)</f>
        <v>1404237471</v>
      </c>
      <c r="F2487">
        <v>-2477.4299999999998</v>
      </c>
    </row>
    <row r="2488" spans="1:6" x14ac:dyDescent="0.25">
      <c r="A2488" t="s">
        <v>642</v>
      </c>
      <c r="B2488" t="s">
        <v>116</v>
      </c>
      <c r="C2488" s="5" t="str">
        <f>" кв. "&amp;B2488</f>
        <v xml:space="preserve"> кв. 112</v>
      </c>
      <c r="D2488" s="5" t="str">
        <f>CONCATENATE(A2488,C2488)</f>
        <v>Беломорская ул., дом 14 к.1 кв. 112</v>
      </c>
      <c r="E2488" s="3">
        <f>HYPERLINK("https://sao.dolgi.msk.ru/account/1404236858/", 1404236858)</f>
        <v>1404236858</v>
      </c>
      <c r="F2488">
        <v>2353.27</v>
      </c>
    </row>
    <row r="2489" spans="1:6" hidden="1" x14ac:dyDescent="0.25">
      <c r="A2489" t="s">
        <v>642</v>
      </c>
      <c r="B2489" t="s">
        <v>117</v>
      </c>
      <c r="E2489" s="3">
        <f>HYPERLINK("https://sao.dolgi.msk.ru/account/1404236794/", 1404236794)</f>
        <v>1404236794</v>
      </c>
      <c r="F2489">
        <v>0</v>
      </c>
    </row>
    <row r="2490" spans="1:6" hidden="1" x14ac:dyDescent="0.25">
      <c r="A2490" t="s">
        <v>642</v>
      </c>
      <c r="B2490" t="s">
        <v>118</v>
      </c>
      <c r="E2490" s="3">
        <f>HYPERLINK("https://sao.dolgi.msk.ru/account/1404236807/", 1404236807)</f>
        <v>1404236807</v>
      </c>
      <c r="F2490">
        <v>0</v>
      </c>
    </row>
    <row r="2491" spans="1:6" hidden="1" x14ac:dyDescent="0.25">
      <c r="A2491" t="s">
        <v>642</v>
      </c>
      <c r="B2491" t="s">
        <v>119</v>
      </c>
      <c r="E2491" s="3">
        <f>HYPERLINK("https://sao.dolgi.msk.ru/account/1404236321/", 1404236321)</f>
        <v>1404236321</v>
      </c>
      <c r="F2491">
        <v>-2472.81</v>
      </c>
    </row>
    <row r="2492" spans="1:6" x14ac:dyDescent="0.25">
      <c r="A2492" t="s">
        <v>642</v>
      </c>
      <c r="B2492" t="s">
        <v>120</v>
      </c>
      <c r="C2492" s="5" t="str">
        <f>" кв. "&amp;B2492</f>
        <v xml:space="preserve"> кв. 116</v>
      </c>
      <c r="D2492" s="5" t="str">
        <f>CONCATENATE(A2492,C2492)</f>
        <v>Беломорская ул., дом 14 к.1 кв. 116</v>
      </c>
      <c r="E2492" s="3">
        <f>HYPERLINK("https://sao.dolgi.msk.ru/account/1404237826/", 1404237826)</f>
        <v>1404237826</v>
      </c>
      <c r="F2492">
        <v>1179.8</v>
      </c>
    </row>
    <row r="2493" spans="1:6" hidden="1" x14ac:dyDescent="0.25">
      <c r="A2493" t="s">
        <v>642</v>
      </c>
      <c r="B2493" t="s">
        <v>121</v>
      </c>
      <c r="E2493" s="3">
        <f>HYPERLINK("https://sao.dolgi.msk.ru/account/1404237834/", 1404237834)</f>
        <v>1404237834</v>
      </c>
      <c r="F2493">
        <v>0</v>
      </c>
    </row>
    <row r="2494" spans="1:6" hidden="1" x14ac:dyDescent="0.25">
      <c r="A2494" t="s">
        <v>642</v>
      </c>
      <c r="B2494" t="s">
        <v>122</v>
      </c>
      <c r="E2494" s="3">
        <f>HYPERLINK("https://sao.dolgi.msk.ru/account/1404236815/", 1404236815)</f>
        <v>1404236815</v>
      </c>
      <c r="F2494">
        <v>-2472.81</v>
      </c>
    </row>
    <row r="2495" spans="1:6" hidden="1" x14ac:dyDescent="0.25">
      <c r="A2495" t="s">
        <v>642</v>
      </c>
      <c r="B2495" t="s">
        <v>123</v>
      </c>
      <c r="E2495" s="3">
        <f>HYPERLINK("https://sao.dolgi.msk.ru/account/1404237535/", 1404237535)</f>
        <v>1404237535</v>
      </c>
      <c r="F2495">
        <v>-2082.5100000000002</v>
      </c>
    </row>
    <row r="2496" spans="1:6" x14ac:dyDescent="0.25">
      <c r="A2496" t="s">
        <v>642</v>
      </c>
      <c r="B2496" t="s">
        <v>124</v>
      </c>
      <c r="C2496" s="5" t="str">
        <f>" кв. "&amp;B2496</f>
        <v xml:space="preserve"> кв. 120</v>
      </c>
      <c r="D2496" s="5" t="str">
        <f>CONCATENATE(A2496,C2496)</f>
        <v>Беломорская ул., дом 14 к.1 кв. 120</v>
      </c>
      <c r="E2496" s="3">
        <f>HYPERLINK("https://sao.dolgi.msk.ru/account/1404236591/", 1404236591)</f>
        <v>1404236591</v>
      </c>
      <c r="F2496">
        <v>2369.08</v>
      </c>
    </row>
    <row r="2497" spans="1:6" hidden="1" x14ac:dyDescent="0.25">
      <c r="A2497" t="s">
        <v>642</v>
      </c>
      <c r="B2497" t="s">
        <v>125</v>
      </c>
      <c r="E2497" s="3">
        <f>HYPERLINK("https://sao.dolgi.msk.ru/account/1404237543/", 1404237543)</f>
        <v>1404237543</v>
      </c>
      <c r="F2497">
        <v>-3531.25</v>
      </c>
    </row>
    <row r="2498" spans="1:6" hidden="1" x14ac:dyDescent="0.25">
      <c r="A2498" t="s">
        <v>642</v>
      </c>
      <c r="B2498" t="s">
        <v>126</v>
      </c>
      <c r="E2498" s="3">
        <f>HYPERLINK("https://sao.dolgi.msk.ru/account/1404237121/", 1404237121)</f>
        <v>1404237121</v>
      </c>
      <c r="F2498">
        <v>-2482.0500000000002</v>
      </c>
    </row>
    <row r="2499" spans="1:6" hidden="1" x14ac:dyDescent="0.25">
      <c r="A2499" t="s">
        <v>642</v>
      </c>
      <c r="B2499" t="s">
        <v>127</v>
      </c>
      <c r="E2499" s="3">
        <f>HYPERLINK("https://sao.dolgi.msk.ru/account/1404237359/", 1404237359)</f>
        <v>1404237359</v>
      </c>
      <c r="F2499">
        <v>-2472.81</v>
      </c>
    </row>
    <row r="2500" spans="1:6" hidden="1" x14ac:dyDescent="0.25">
      <c r="A2500" t="s">
        <v>642</v>
      </c>
      <c r="B2500" t="s">
        <v>128</v>
      </c>
      <c r="E2500" s="3">
        <f>HYPERLINK("https://sao.dolgi.msk.ru/account/1404237148/", 1404237148)</f>
        <v>1404237148</v>
      </c>
      <c r="F2500">
        <v>-2694.66</v>
      </c>
    </row>
    <row r="2501" spans="1:6" hidden="1" x14ac:dyDescent="0.25">
      <c r="A2501" t="s">
        <v>642</v>
      </c>
      <c r="B2501" t="s">
        <v>129</v>
      </c>
      <c r="E2501" s="3">
        <f>HYPERLINK("https://sao.dolgi.msk.ru/account/1404237682/", 1404237682)</f>
        <v>1404237682</v>
      </c>
      <c r="F2501">
        <v>-1765.62</v>
      </c>
    </row>
    <row r="2502" spans="1:6" hidden="1" x14ac:dyDescent="0.25">
      <c r="A2502" t="s">
        <v>642</v>
      </c>
      <c r="B2502" t="s">
        <v>130</v>
      </c>
      <c r="E2502" s="3">
        <f>HYPERLINK("https://sao.dolgi.msk.ru/account/1404236225/", 1404236225)</f>
        <v>1404236225</v>
      </c>
      <c r="F2502">
        <v>-1714.79</v>
      </c>
    </row>
    <row r="2503" spans="1:6" hidden="1" x14ac:dyDescent="0.25">
      <c r="A2503" t="s">
        <v>642</v>
      </c>
      <c r="B2503" t="s">
        <v>131</v>
      </c>
      <c r="E2503" s="3">
        <f>HYPERLINK("https://sao.dolgi.msk.ru/account/1404237703/", 1404237703)</f>
        <v>1404237703</v>
      </c>
      <c r="F2503">
        <v>-1418.28</v>
      </c>
    </row>
    <row r="2504" spans="1:6" hidden="1" x14ac:dyDescent="0.25">
      <c r="A2504" t="s">
        <v>642</v>
      </c>
      <c r="B2504" t="s">
        <v>132</v>
      </c>
      <c r="E2504" s="3">
        <f>HYPERLINK("https://sao.dolgi.msk.ru/account/1404236882/", 1404236882)</f>
        <v>1404236882</v>
      </c>
      <c r="F2504">
        <v>-3457.3</v>
      </c>
    </row>
    <row r="2505" spans="1:6" hidden="1" x14ac:dyDescent="0.25">
      <c r="A2505" t="s">
        <v>642</v>
      </c>
      <c r="B2505" t="s">
        <v>133</v>
      </c>
      <c r="E2505" s="3">
        <f>HYPERLINK("https://sao.dolgi.msk.ru/account/1404236364/", 1404236364)</f>
        <v>1404236364</v>
      </c>
      <c r="F2505">
        <v>-3535.88</v>
      </c>
    </row>
    <row r="2506" spans="1:6" hidden="1" x14ac:dyDescent="0.25">
      <c r="A2506" t="s">
        <v>642</v>
      </c>
      <c r="B2506" t="s">
        <v>134</v>
      </c>
      <c r="E2506" s="3">
        <f>HYPERLINK("https://sao.dolgi.msk.ru/account/1404236903/", 1404236903)</f>
        <v>1404236903</v>
      </c>
      <c r="F2506">
        <v>-2078.6</v>
      </c>
    </row>
    <row r="2507" spans="1:6" x14ac:dyDescent="0.25">
      <c r="A2507" t="s">
        <v>642</v>
      </c>
      <c r="B2507" t="s">
        <v>135</v>
      </c>
      <c r="C2507" s="5" t="str">
        <f t="shared" ref="C2507:C2508" si="105">" кв. "&amp;B2507</f>
        <v xml:space="preserve"> кв. 131</v>
      </c>
      <c r="D2507" s="5" t="str">
        <f>CONCATENATE(A2507,C2507)</f>
        <v>Беломорская ул., дом 14 к.1 кв. 131</v>
      </c>
      <c r="E2507" s="3">
        <f>HYPERLINK("https://sao.dolgi.msk.ru/account/1404236399/", 1404236399)</f>
        <v>1404236399</v>
      </c>
      <c r="F2507">
        <v>1692.21</v>
      </c>
    </row>
    <row r="2508" spans="1:6" x14ac:dyDescent="0.25">
      <c r="A2508" t="s">
        <v>642</v>
      </c>
      <c r="B2508" t="s">
        <v>136</v>
      </c>
      <c r="C2508" s="5" t="str">
        <f t="shared" si="105"/>
        <v xml:space="preserve"> кв. 132</v>
      </c>
      <c r="D2508" s="5" t="str">
        <f>CONCATENATE(A2508,C2508)</f>
        <v>Беломорская ул., дом 14 к.1 кв. 132</v>
      </c>
      <c r="E2508" s="3">
        <f>HYPERLINK("https://sao.dolgi.msk.ru/account/1404237367/", 1404237367)</f>
        <v>1404237367</v>
      </c>
      <c r="F2508">
        <v>1847.19</v>
      </c>
    </row>
    <row r="2509" spans="1:6" hidden="1" x14ac:dyDescent="0.25">
      <c r="A2509" t="s">
        <v>642</v>
      </c>
      <c r="B2509" t="s">
        <v>137</v>
      </c>
      <c r="E2509" s="3">
        <f>HYPERLINK("https://sao.dolgi.msk.ru/account/1404237869/", 1404237869)</f>
        <v>1404237869</v>
      </c>
      <c r="F2509">
        <v>-2635.53</v>
      </c>
    </row>
    <row r="2510" spans="1:6" hidden="1" x14ac:dyDescent="0.25">
      <c r="A2510" t="s">
        <v>642</v>
      </c>
      <c r="B2510" t="s">
        <v>138</v>
      </c>
      <c r="E2510" s="3">
        <f>HYPERLINK("https://sao.dolgi.msk.ru/account/1404236604/", 1404236604)</f>
        <v>1404236604</v>
      </c>
      <c r="F2510">
        <v>-2468.1799999999998</v>
      </c>
    </row>
    <row r="2511" spans="1:6" hidden="1" x14ac:dyDescent="0.25">
      <c r="A2511" t="s">
        <v>642</v>
      </c>
      <c r="B2511" t="s">
        <v>139</v>
      </c>
      <c r="E2511" s="3">
        <f>HYPERLINK("https://sao.dolgi.msk.ru/account/1404237711/", 1404237711)</f>
        <v>1404237711</v>
      </c>
      <c r="F2511">
        <v>-1851.14</v>
      </c>
    </row>
    <row r="2512" spans="1:6" hidden="1" x14ac:dyDescent="0.25">
      <c r="A2512" t="s">
        <v>642</v>
      </c>
      <c r="B2512" t="s">
        <v>140</v>
      </c>
      <c r="E2512" s="3">
        <f>HYPERLINK("https://sao.dolgi.msk.ru/account/1404237076/", 1404237076)</f>
        <v>1404237076</v>
      </c>
      <c r="F2512">
        <v>-3457.3</v>
      </c>
    </row>
    <row r="2513" spans="1:6" x14ac:dyDescent="0.25">
      <c r="A2513" t="s">
        <v>643</v>
      </c>
      <c r="B2513" t="s">
        <v>5</v>
      </c>
      <c r="C2513" s="5" t="str">
        <f t="shared" ref="C2513:C2514" si="106">" кв. "&amp;B2513</f>
        <v xml:space="preserve"> кв. 1</v>
      </c>
      <c r="D2513" s="5" t="str">
        <f>CONCATENATE(A2513,C2513)</f>
        <v>Беломорская ул., дом 16 кв. 1</v>
      </c>
      <c r="E2513" s="3">
        <f>HYPERLINK("https://sao.dolgi.msk.ru/account/1404194125/", 1404194125)</f>
        <v>1404194125</v>
      </c>
      <c r="F2513">
        <v>914.25</v>
      </c>
    </row>
    <row r="2514" spans="1:6" x14ac:dyDescent="0.25">
      <c r="A2514" t="s">
        <v>643</v>
      </c>
      <c r="B2514" t="s">
        <v>6</v>
      </c>
      <c r="C2514" s="5" t="str">
        <f t="shared" si="106"/>
        <v xml:space="preserve"> кв. 2</v>
      </c>
      <c r="D2514" s="5" t="str">
        <f>CONCATENATE(A2514,C2514)</f>
        <v>Беломорская ул., дом 16 кв. 2</v>
      </c>
      <c r="E2514" s="3">
        <f>HYPERLINK("https://sao.dolgi.msk.ru/account/1404194299/", 1404194299)</f>
        <v>1404194299</v>
      </c>
      <c r="F2514">
        <v>906.3</v>
      </c>
    </row>
    <row r="2515" spans="1:6" hidden="1" x14ac:dyDescent="0.25">
      <c r="A2515" t="s">
        <v>643</v>
      </c>
      <c r="B2515" t="s">
        <v>7</v>
      </c>
      <c r="E2515" s="3">
        <f>HYPERLINK("https://sao.dolgi.msk.ru/account/1404194475/", 1404194475)</f>
        <v>1404194475</v>
      </c>
      <c r="F2515">
        <v>-2658.57</v>
      </c>
    </row>
    <row r="2516" spans="1:6" x14ac:dyDescent="0.25">
      <c r="A2516" t="s">
        <v>643</v>
      </c>
      <c r="B2516" t="s">
        <v>8</v>
      </c>
      <c r="C2516" s="5" t="str">
        <f>" кв. "&amp;B2516</f>
        <v xml:space="preserve"> кв. 4</v>
      </c>
      <c r="D2516" s="5" t="str">
        <f>CONCATENATE(A2516,C2516)</f>
        <v>Беломорская ул., дом 16 кв. 4</v>
      </c>
      <c r="E2516" s="3">
        <f>HYPERLINK("https://sao.dolgi.msk.ru/account/1404193827/", 1404193827)</f>
        <v>1404193827</v>
      </c>
      <c r="F2516">
        <v>1696</v>
      </c>
    </row>
    <row r="2517" spans="1:6" hidden="1" x14ac:dyDescent="0.25">
      <c r="A2517" t="s">
        <v>643</v>
      </c>
      <c r="B2517" t="s">
        <v>9</v>
      </c>
      <c r="E2517" s="3">
        <f>HYPERLINK("https://sao.dolgi.msk.ru/account/1404193878/", 1404193878)</f>
        <v>1404193878</v>
      </c>
      <c r="F2517">
        <v>-1269.4000000000001</v>
      </c>
    </row>
    <row r="2518" spans="1:6" hidden="1" x14ac:dyDescent="0.25">
      <c r="A2518" t="s">
        <v>643</v>
      </c>
      <c r="B2518" t="s">
        <v>10</v>
      </c>
      <c r="E2518" s="3">
        <f>HYPERLINK("https://sao.dolgi.msk.ru/account/1404193739/", 1404193739)</f>
        <v>1404193739</v>
      </c>
      <c r="F2518">
        <v>-1179.47</v>
      </c>
    </row>
    <row r="2519" spans="1:6" hidden="1" x14ac:dyDescent="0.25">
      <c r="A2519" t="s">
        <v>643</v>
      </c>
      <c r="B2519" t="s">
        <v>11</v>
      </c>
      <c r="E2519" s="3">
        <f>HYPERLINK("https://sao.dolgi.msk.ru/account/1404194192/", 1404194192)</f>
        <v>1404194192</v>
      </c>
      <c r="F2519">
        <v>0</v>
      </c>
    </row>
    <row r="2520" spans="1:6" hidden="1" x14ac:dyDescent="0.25">
      <c r="A2520" t="s">
        <v>643</v>
      </c>
      <c r="B2520" t="s">
        <v>12</v>
      </c>
      <c r="E2520" s="3">
        <f>HYPERLINK("https://sao.dolgi.msk.ru/account/1404194651/", 1404194651)</f>
        <v>1404194651</v>
      </c>
      <c r="F2520">
        <v>-1433.79</v>
      </c>
    </row>
    <row r="2521" spans="1:6" hidden="1" x14ac:dyDescent="0.25">
      <c r="A2521" t="s">
        <v>643</v>
      </c>
      <c r="B2521" t="s">
        <v>13</v>
      </c>
      <c r="E2521" s="3">
        <f>HYPERLINK("https://sao.dolgi.msk.ru/account/1404194977/", 1404194977)</f>
        <v>1404194977</v>
      </c>
      <c r="F2521">
        <v>-1358.51</v>
      </c>
    </row>
    <row r="2522" spans="1:6" hidden="1" x14ac:dyDescent="0.25">
      <c r="A2522" t="s">
        <v>643</v>
      </c>
      <c r="B2522" t="s">
        <v>14</v>
      </c>
      <c r="E2522" s="3">
        <f>HYPERLINK("https://sao.dolgi.msk.ru/account/1404194416/", 1404194416)</f>
        <v>1404194416</v>
      </c>
      <c r="F2522">
        <v>-1346.82</v>
      </c>
    </row>
    <row r="2523" spans="1:6" hidden="1" x14ac:dyDescent="0.25">
      <c r="A2523" t="s">
        <v>643</v>
      </c>
      <c r="B2523" t="s">
        <v>15</v>
      </c>
      <c r="E2523" s="3">
        <f>HYPERLINK("https://sao.dolgi.msk.ru/account/1404194539/", 1404194539)</f>
        <v>1404194539</v>
      </c>
      <c r="F2523">
        <v>-1599.24</v>
      </c>
    </row>
    <row r="2524" spans="1:6" x14ac:dyDescent="0.25">
      <c r="A2524" t="s">
        <v>643</v>
      </c>
      <c r="B2524" t="s">
        <v>16</v>
      </c>
      <c r="C2524" s="5" t="str">
        <f>" кв. "&amp;B2524</f>
        <v xml:space="preserve"> кв. 12</v>
      </c>
      <c r="D2524" s="5" t="str">
        <f>CONCATENATE(A2524,C2524)</f>
        <v>Беломорская ул., дом 16 кв. 12</v>
      </c>
      <c r="E2524" s="3">
        <f>HYPERLINK("https://sao.dolgi.msk.ru/account/1404194037/", 1404194037)</f>
        <v>1404194037</v>
      </c>
      <c r="F2524">
        <v>939.41</v>
      </c>
    </row>
    <row r="2525" spans="1:6" hidden="1" x14ac:dyDescent="0.25">
      <c r="A2525" t="s">
        <v>643</v>
      </c>
      <c r="B2525" t="s">
        <v>17</v>
      </c>
      <c r="E2525" s="3">
        <f>HYPERLINK("https://sao.dolgi.msk.ru/account/1404194774/", 1404194774)</f>
        <v>1404194774</v>
      </c>
      <c r="F2525">
        <v>-2971.99</v>
      </c>
    </row>
    <row r="2526" spans="1:6" hidden="1" x14ac:dyDescent="0.25">
      <c r="A2526" t="s">
        <v>643</v>
      </c>
      <c r="B2526" t="s">
        <v>18</v>
      </c>
      <c r="E2526" s="3">
        <f>HYPERLINK("https://sao.dolgi.msk.ru/account/1404194934/", 1404194934)</f>
        <v>1404194934</v>
      </c>
      <c r="F2526">
        <v>-945.48</v>
      </c>
    </row>
    <row r="2527" spans="1:6" hidden="1" x14ac:dyDescent="0.25">
      <c r="A2527" t="s">
        <v>643</v>
      </c>
      <c r="B2527" t="s">
        <v>19</v>
      </c>
      <c r="E2527" s="3">
        <f>HYPERLINK("https://sao.dolgi.msk.ru/account/1404194547/", 1404194547)</f>
        <v>1404194547</v>
      </c>
      <c r="F2527">
        <v>-2352.63</v>
      </c>
    </row>
    <row r="2528" spans="1:6" hidden="1" x14ac:dyDescent="0.25">
      <c r="A2528" t="s">
        <v>643</v>
      </c>
      <c r="B2528" t="s">
        <v>20</v>
      </c>
      <c r="E2528" s="3">
        <f>HYPERLINK("https://sao.dolgi.msk.ru/account/1404194942/", 1404194942)</f>
        <v>1404194942</v>
      </c>
      <c r="F2528">
        <v>0</v>
      </c>
    </row>
    <row r="2529" spans="1:6" x14ac:dyDescent="0.25">
      <c r="A2529" t="s">
        <v>643</v>
      </c>
      <c r="B2529" t="s">
        <v>21</v>
      </c>
      <c r="C2529" s="5" t="str">
        <f>" кв. "&amp;B2529</f>
        <v xml:space="preserve"> кв. 17</v>
      </c>
      <c r="D2529" s="5" t="str">
        <f>CONCATENATE(A2529,C2529)</f>
        <v>Беломорская ул., дом 16 кв. 17</v>
      </c>
      <c r="E2529" s="3">
        <f>HYPERLINK("https://sao.dolgi.msk.ru/account/1404194555/", 1404194555)</f>
        <v>1404194555</v>
      </c>
      <c r="F2529">
        <v>578.82000000000005</v>
      </c>
    </row>
    <row r="2530" spans="1:6" hidden="1" x14ac:dyDescent="0.25">
      <c r="A2530" t="s">
        <v>643</v>
      </c>
      <c r="B2530" t="s">
        <v>22</v>
      </c>
      <c r="E2530" s="3">
        <f>HYPERLINK("https://sao.dolgi.msk.ru/account/1404194045/", 1404194045)</f>
        <v>1404194045</v>
      </c>
      <c r="F2530">
        <v>0</v>
      </c>
    </row>
    <row r="2531" spans="1:6" hidden="1" x14ac:dyDescent="0.25">
      <c r="A2531" t="s">
        <v>643</v>
      </c>
      <c r="B2531" t="s">
        <v>23</v>
      </c>
      <c r="E2531" s="3">
        <f>HYPERLINK("https://sao.dolgi.msk.ru/account/1404194782/", 1404194782)</f>
        <v>1404194782</v>
      </c>
      <c r="F2531">
        <v>0</v>
      </c>
    </row>
    <row r="2532" spans="1:6" hidden="1" x14ac:dyDescent="0.25">
      <c r="A2532" t="s">
        <v>643</v>
      </c>
      <c r="B2532" t="s">
        <v>24</v>
      </c>
      <c r="E2532" s="3">
        <f>HYPERLINK("https://sao.dolgi.msk.ru/account/1404194301/", 1404194301)</f>
        <v>1404194301</v>
      </c>
      <c r="F2532">
        <v>-747.61</v>
      </c>
    </row>
    <row r="2533" spans="1:6" hidden="1" x14ac:dyDescent="0.25">
      <c r="A2533" t="s">
        <v>643</v>
      </c>
      <c r="B2533" t="s">
        <v>24</v>
      </c>
      <c r="E2533" s="3">
        <f>HYPERLINK("https://sao.dolgi.msk.ru/account/1404194336/", 1404194336)</f>
        <v>1404194336</v>
      </c>
      <c r="F2533">
        <v>-747.61</v>
      </c>
    </row>
    <row r="2534" spans="1:6" hidden="1" x14ac:dyDescent="0.25">
      <c r="A2534" t="s">
        <v>643</v>
      </c>
      <c r="B2534" t="s">
        <v>25</v>
      </c>
      <c r="E2534" s="3">
        <f>HYPERLINK("https://sao.dolgi.msk.ru/account/1404194563/", 1404194563)</f>
        <v>1404194563</v>
      </c>
      <c r="F2534">
        <v>-472.02</v>
      </c>
    </row>
    <row r="2535" spans="1:6" x14ac:dyDescent="0.25">
      <c r="A2535" t="s">
        <v>643</v>
      </c>
      <c r="B2535" t="s">
        <v>26</v>
      </c>
      <c r="C2535" s="5" t="str">
        <f t="shared" ref="C2535:C2538" si="107">" кв. "&amp;B2535</f>
        <v xml:space="preserve"> кв. 22</v>
      </c>
      <c r="D2535" s="5" t="str">
        <f>CONCATENATE(A2535,C2535)</f>
        <v>Беломорская ул., дом 16 кв. 22</v>
      </c>
      <c r="E2535" s="3">
        <f>HYPERLINK("https://sao.dolgi.msk.ru/account/1404194328/", 1404194328)</f>
        <v>1404194328</v>
      </c>
      <c r="F2535">
        <v>1088.07</v>
      </c>
    </row>
    <row r="2536" spans="1:6" x14ac:dyDescent="0.25">
      <c r="A2536" t="s">
        <v>643</v>
      </c>
      <c r="B2536" t="s">
        <v>27</v>
      </c>
      <c r="C2536" s="5" t="str">
        <f t="shared" si="107"/>
        <v xml:space="preserve"> кв. 23</v>
      </c>
      <c r="D2536" s="5" t="str">
        <f>CONCATENATE(A2536,C2536)</f>
        <v>Беломорская ул., дом 16 кв. 23</v>
      </c>
      <c r="E2536" s="3">
        <f>HYPERLINK("https://sao.dolgi.msk.ru/account/1404193691/", 1404193691)</f>
        <v>1404193691</v>
      </c>
      <c r="F2536">
        <v>1100.72</v>
      </c>
    </row>
    <row r="2537" spans="1:6" x14ac:dyDescent="0.25">
      <c r="A2537" t="s">
        <v>643</v>
      </c>
      <c r="B2537" t="s">
        <v>28</v>
      </c>
      <c r="C2537" s="5" t="str">
        <f t="shared" si="107"/>
        <v xml:space="preserve"> кв. 24</v>
      </c>
      <c r="D2537" s="5" t="str">
        <f>CONCATENATE(A2537,C2537)</f>
        <v>Беломорская ул., дом 16 кв. 24</v>
      </c>
      <c r="E2537" s="3">
        <f>HYPERLINK("https://sao.dolgi.msk.ru/account/1404194969/", 1404194969)</f>
        <v>1404194969</v>
      </c>
      <c r="F2537">
        <v>1094.4000000000001</v>
      </c>
    </row>
    <row r="2538" spans="1:6" x14ac:dyDescent="0.25">
      <c r="A2538" t="s">
        <v>643</v>
      </c>
      <c r="B2538" t="s">
        <v>29</v>
      </c>
      <c r="C2538" s="5" t="str">
        <f t="shared" si="107"/>
        <v xml:space="preserve"> кв. 25</v>
      </c>
      <c r="D2538" s="5" t="str">
        <f>CONCATENATE(A2538,C2538)</f>
        <v>Беломорская ул., дом 16 кв. 25</v>
      </c>
      <c r="E2538" s="3">
        <f>HYPERLINK("https://sao.dolgi.msk.ru/account/1404194694/", 1404194694)</f>
        <v>1404194694</v>
      </c>
      <c r="F2538">
        <v>1094.4000000000001</v>
      </c>
    </row>
    <row r="2539" spans="1:6" hidden="1" x14ac:dyDescent="0.25">
      <c r="A2539" t="s">
        <v>643</v>
      </c>
      <c r="B2539" t="s">
        <v>30</v>
      </c>
      <c r="E2539" s="3">
        <f>HYPERLINK("https://sao.dolgi.msk.ru/account/1404194707/", 1404194707)</f>
        <v>1404194707</v>
      </c>
      <c r="F2539">
        <v>0</v>
      </c>
    </row>
    <row r="2540" spans="1:6" x14ac:dyDescent="0.25">
      <c r="A2540" t="s">
        <v>643</v>
      </c>
      <c r="B2540" t="s">
        <v>31</v>
      </c>
      <c r="C2540" s="5" t="str">
        <f>" кв. "&amp;B2540</f>
        <v xml:space="preserve"> кв. 27</v>
      </c>
      <c r="D2540" s="5" t="str">
        <f>CONCATENATE(A2540,C2540)</f>
        <v>Беломорская ул., дом 16 кв. 27</v>
      </c>
      <c r="E2540" s="3">
        <f>HYPERLINK("https://sao.dolgi.msk.ru/account/1404193966/", 1404193966)</f>
        <v>1404193966</v>
      </c>
      <c r="F2540">
        <v>2036.97</v>
      </c>
    </row>
    <row r="2541" spans="1:6" hidden="1" x14ac:dyDescent="0.25">
      <c r="A2541" t="s">
        <v>643</v>
      </c>
      <c r="B2541" t="s">
        <v>32</v>
      </c>
      <c r="E2541" s="3">
        <f>HYPERLINK("https://sao.dolgi.msk.ru/account/1404194256/", 1404194256)</f>
        <v>1404194256</v>
      </c>
      <c r="F2541">
        <v>-2976.61</v>
      </c>
    </row>
    <row r="2542" spans="1:6" hidden="1" x14ac:dyDescent="0.25">
      <c r="A2542" t="s">
        <v>643</v>
      </c>
      <c r="B2542" t="s">
        <v>33</v>
      </c>
      <c r="E2542" s="3">
        <f>HYPERLINK("https://sao.dolgi.msk.ru/account/1404194854/", 1404194854)</f>
        <v>1404194854</v>
      </c>
      <c r="F2542">
        <v>-2334.14</v>
      </c>
    </row>
    <row r="2543" spans="1:6" x14ac:dyDescent="0.25">
      <c r="A2543" t="s">
        <v>643</v>
      </c>
      <c r="B2543" t="s">
        <v>34</v>
      </c>
      <c r="C2543" s="5" t="str">
        <f t="shared" ref="C2543:C2544" si="108">" кв. "&amp;B2543</f>
        <v xml:space="preserve"> кв. 30</v>
      </c>
      <c r="D2543" s="5" t="str">
        <f>CONCATENATE(A2543,C2543)</f>
        <v>Беломорская ул., дом 16 кв. 30</v>
      </c>
      <c r="E2543" s="3">
        <f>HYPERLINK("https://sao.dolgi.msk.ru/account/1404193819/", 1404193819)</f>
        <v>1404193819</v>
      </c>
      <c r="F2543">
        <v>1100.72</v>
      </c>
    </row>
    <row r="2544" spans="1:6" x14ac:dyDescent="0.25">
      <c r="A2544" t="s">
        <v>643</v>
      </c>
      <c r="B2544" t="s">
        <v>35</v>
      </c>
      <c r="C2544" s="5" t="str">
        <f t="shared" si="108"/>
        <v xml:space="preserve"> кв. 31</v>
      </c>
      <c r="D2544" s="5" t="str">
        <f>CONCATENATE(A2544,C2544)</f>
        <v>Беломорская ул., дом 16 кв. 31</v>
      </c>
      <c r="E2544" s="3">
        <f>HYPERLINK("https://sao.dolgi.msk.ru/account/1404193982/", 1404193982)</f>
        <v>1404193982</v>
      </c>
      <c r="F2544">
        <v>1097.56</v>
      </c>
    </row>
    <row r="2545" spans="1:6" hidden="1" x14ac:dyDescent="0.25">
      <c r="A2545" t="s">
        <v>643</v>
      </c>
      <c r="B2545" t="s">
        <v>36</v>
      </c>
      <c r="E2545" s="3">
        <f>HYPERLINK("https://sao.dolgi.msk.ru/account/1404194483/", 1404194483)</f>
        <v>1404194483</v>
      </c>
      <c r="F2545">
        <v>0</v>
      </c>
    </row>
    <row r="2546" spans="1:6" x14ac:dyDescent="0.25">
      <c r="A2546" t="s">
        <v>643</v>
      </c>
      <c r="B2546" t="s">
        <v>37</v>
      </c>
      <c r="C2546" s="5" t="str">
        <f t="shared" ref="C2546:C2547" si="109">" кв. "&amp;B2546</f>
        <v xml:space="preserve"> кв. 33</v>
      </c>
      <c r="D2546" s="5" t="str">
        <f>CONCATENATE(A2546,C2546)</f>
        <v>Беломорская ул., дом 16 кв. 33</v>
      </c>
      <c r="E2546" s="3">
        <f>HYPERLINK("https://sao.dolgi.msk.ru/account/1404194002/", 1404194002)</f>
        <v>1404194002</v>
      </c>
      <c r="F2546">
        <v>1597.32</v>
      </c>
    </row>
    <row r="2547" spans="1:6" x14ac:dyDescent="0.25">
      <c r="A2547" t="s">
        <v>643</v>
      </c>
      <c r="B2547" t="s">
        <v>38</v>
      </c>
      <c r="C2547" s="5" t="str">
        <f t="shared" si="109"/>
        <v xml:space="preserve"> кв. 34</v>
      </c>
      <c r="D2547" s="5" t="str">
        <f>CONCATENATE(A2547,C2547)</f>
        <v>Беломорская ул., дом 16 кв. 34</v>
      </c>
      <c r="E2547" s="3">
        <f>HYPERLINK("https://sao.dolgi.msk.ru/account/1404195048/", 1404195048)</f>
        <v>1404195048</v>
      </c>
      <c r="F2547">
        <v>1379.07</v>
      </c>
    </row>
    <row r="2548" spans="1:6" hidden="1" x14ac:dyDescent="0.25">
      <c r="A2548" t="s">
        <v>643</v>
      </c>
      <c r="B2548" t="s">
        <v>39</v>
      </c>
      <c r="E2548" s="3">
        <f>HYPERLINK("https://sao.dolgi.msk.ru/account/1404194862/", 1404194862)</f>
        <v>1404194862</v>
      </c>
      <c r="F2548">
        <v>0</v>
      </c>
    </row>
    <row r="2549" spans="1:6" x14ac:dyDescent="0.25">
      <c r="A2549" t="s">
        <v>643</v>
      </c>
      <c r="B2549" t="s">
        <v>40</v>
      </c>
      <c r="C2549" s="5" t="str">
        <f t="shared" ref="C2549:C2550" si="110">" кв. "&amp;B2549</f>
        <v xml:space="preserve"> кв. 36</v>
      </c>
      <c r="D2549" s="5" t="str">
        <f>CONCATENATE(A2549,C2549)</f>
        <v>Беломорская ул., дом 16 кв. 36</v>
      </c>
      <c r="E2549" s="3">
        <f>HYPERLINK("https://sao.dolgi.msk.ru/account/1404194889/", 1404194889)</f>
        <v>1404194889</v>
      </c>
      <c r="F2549">
        <v>804.99</v>
      </c>
    </row>
    <row r="2550" spans="1:6" x14ac:dyDescent="0.25">
      <c r="A2550" t="s">
        <v>643</v>
      </c>
      <c r="B2550" t="s">
        <v>41</v>
      </c>
      <c r="C2550" s="5" t="str">
        <f t="shared" si="110"/>
        <v xml:space="preserve"> кв. 37</v>
      </c>
      <c r="D2550" s="5" t="str">
        <f>CONCATENATE(A2550,C2550)</f>
        <v>Беломорская ул., дом 16 кв. 37</v>
      </c>
      <c r="E2550" s="3">
        <f>HYPERLINK("https://sao.dolgi.msk.ru/account/1404194491/", 1404194491)</f>
        <v>1404194491</v>
      </c>
      <c r="F2550">
        <v>1103.8900000000001</v>
      </c>
    </row>
    <row r="2551" spans="1:6" hidden="1" x14ac:dyDescent="0.25">
      <c r="A2551" t="s">
        <v>643</v>
      </c>
      <c r="B2551" t="s">
        <v>42</v>
      </c>
      <c r="E2551" s="3">
        <f>HYPERLINK("https://sao.dolgi.msk.ru/account/1404194731/", 1404194731)</f>
        <v>1404194731</v>
      </c>
      <c r="F2551">
        <v>0</v>
      </c>
    </row>
    <row r="2552" spans="1:6" hidden="1" x14ac:dyDescent="0.25">
      <c r="A2552" t="s">
        <v>643</v>
      </c>
      <c r="B2552" t="s">
        <v>43</v>
      </c>
      <c r="E2552" s="3">
        <f>HYPERLINK("https://sao.dolgi.msk.ru/account/1404195056/", 1404195056)</f>
        <v>1404195056</v>
      </c>
      <c r="F2552">
        <v>-1599.24</v>
      </c>
    </row>
    <row r="2553" spans="1:6" x14ac:dyDescent="0.25">
      <c r="A2553" t="s">
        <v>643</v>
      </c>
      <c r="B2553" t="s">
        <v>44</v>
      </c>
      <c r="C2553" s="5" t="str">
        <f>" кв. "&amp;B2553</f>
        <v xml:space="preserve"> кв. 40</v>
      </c>
      <c r="D2553" s="5" t="str">
        <f>CONCATENATE(A2553,C2553)</f>
        <v>Беломорская ул., дом 16 кв. 40</v>
      </c>
      <c r="E2553" s="3">
        <f>HYPERLINK("https://sao.dolgi.msk.ru/account/1404194504/", 1404194504)</f>
        <v>1404194504</v>
      </c>
      <c r="F2553">
        <v>1603.64</v>
      </c>
    </row>
    <row r="2554" spans="1:6" hidden="1" x14ac:dyDescent="0.25">
      <c r="A2554" t="s">
        <v>643</v>
      </c>
      <c r="B2554" t="s">
        <v>45</v>
      </c>
      <c r="E2554" s="3">
        <f>HYPERLINK("https://sao.dolgi.msk.ru/account/1404194512/", 1404194512)</f>
        <v>1404194512</v>
      </c>
      <c r="F2554">
        <v>-1904.98</v>
      </c>
    </row>
    <row r="2555" spans="1:6" hidden="1" x14ac:dyDescent="0.25">
      <c r="A2555" t="s">
        <v>643</v>
      </c>
      <c r="B2555" t="s">
        <v>46</v>
      </c>
      <c r="E2555" s="3">
        <f>HYPERLINK("https://sao.dolgi.msk.ru/account/1404194758/", 1404194758)</f>
        <v>1404194758</v>
      </c>
      <c r="F2555">
        <v>-2510.6999999999998</v>
      </c>
    </row>
    <row r="2556" spans="1:6" x14ac:dyDescent="0.25">
      <c r="A2556" t="s">
        <v>643</v>
      </c>
      <c r="B2556" t="s">
        <v>47</v>
      </c>
      <c r="C2556" s="5" t="str">
        <f>" кв. "&amp;B2556</f>
        <v xml:space="preserve"> кв. 43</v>
      </c>
      <c r="D2556" s="5" t="str">
        <f>CONCATENATE(A2556,C2556)</f>
        <v>Беломорская ул., дом 16 кв. 43</v>
      </c>
      <c r="E2556" s="3">
        <f>HYPERLINK("https://sao.dolgi.msk.ru/account/1404194897/", 1404194897)</f>
        <v>1404194897</v>
      </c>
      <c r="F2556">
        <v>1606.8</v>
      </c>
    </row>
    <row r="2557" spans="1:6" hidden="1" x14ac:dyDescent="0.25">
      <c r="A2557" t="s">
        <v>643</v>
      </c>
      <c r="B2557" t="s">
        <v>48</v>
      </c>
      <c r="E2557" s="3">
        <f>HYPERLINK("https://sao.dolgi.msk.ru/account/1404194918/", 1404194918)</f>
        <v>1404194918</v>
      </c>
      <c r="F2557">
        <v>0</v>
      </c>
    </row>
    <row r="2558" spans="1:6" x14ac:dyDescent="0.25">
      <c r="A2558" t="s">
        <v>643</v>
      </c>
      <c r="B2558" t="s">
        <v>49</v>
      </c>
      <c r="C2558" s="5" t="str">
        <f t="shared" ref="C2558:C2560" si="111">" кв. "&amp;B2558</f>
        <v xml:space="preserve"> кв. 45</v>
      </c>
      <c r="D2558" s="5" t="str">
        <f>CONCATENATE(A2558,C2558)</f>
        <v>Беломорская ул., дом 16 кв. 45</v>
      </c>
      <c r="E2558" s="3">
        <f>HYPERLINK("https://sao.dolgi.msk.ru/account/1404194029/", 1404194029)</f>
        <v>1404194029</v>
      </c>
      <c r="F2558">
        <v>1100.72</v>
      </c>
    </row>
    <row r="2559" spans="1:6" x14ac:dyDescent="0.25">
      <c r="A2559" t="s">
        <v>643</v>
      </c>
      <c r="B2559" t="s">
        <v>50</v>
      </c>
      <c r="C2559" s="5" t="str">
        <f t="shared" si="111"/>
        <v xml:space="preserve"> кв. 46</v>
      </c>
      <c r="D2559" s="5" t="str">
        <f>CONCATENATE(A2559,C2559)</f>
        <v>Беломорская ул., дом 16 кв. 46</v>
      </c>
      <c r="E2559" s="3">
        <f>HYPERLINK("https://sao.dolgi.msk.ru/account/1404194264/", 1404194264)</f>
        <v>1404194264</v>
      </c>
      <c r="F2559">
        <v>1097.56</v>
      </c>
    </row>
    <row r="2560" spans="1:6" x14ac:dyDescent="0.25">
      <c r="A2560" t="s">
        <v>643</v>
      </c>
      <c r="B2560" t="s">
        <v>51</v>
      </c>
      <c r="C2560" s="5" t="str">
        <f t="shared" si="111"/>
        <v xml:space="preserve"> кв. 47</v>
      </c>
      <c r="D2560" s="5" t="str">
        <f>CONCATENATE(A2560,C2560)</f>
        <v>Беломорская ул., дом 16 кв. 47</v>
      </c>
      <c r="E2560" s="3">
        <f>HYPERLINK("https://sao.dolgi.msk.ru/account/1404194619/", 1404194619)</f>
        <v>1404194619</v>
      </c>
      <c r="F2560">
        <v>1603.64</v>
      </c>
    </row>
    <row r="2561" spans="1:6" hidden="1" x14ac:dyDescent="0.25">
      <c r="A2561" t="s">
        <v>643</v>
      </c>
      <c r="B2561" t="s">
        <v>52</v>
      </c>
      <c r="E2561" s="3">
        <f>HYPERLINK("https://sao.dolgi.msk.ru/account/1404193851/", 1404193851)</f>
        <v>1404193851</v>
      </c>
      <c r="F2561">
        <v>-2822.28</v>
      </c>
    </row>
    <row r="2562" spans="1:6" hidden="1" x14ac:dyDescent="0.25">
      <c r="A2562" t="s">
        <v>643</v>
      </c>
      <c r="B2562" t="s">
        <v>53</v>
      </c>
      <c r="E2562" s="3">
        <f>HYPERLINK("https://sao.dolgi.msk.ru/account/1404194061/", 1404194061)</f>
        <v>1404194061</v>
      </c>
      <c r="F2562">
        <v>-2990.48</v>
      </c>
    </row>
    <row r="2563" spans="1:6" hidden="1" x14ac:dyDescent="0.25">
      <c r="A2563" t="s">
        <v>643</v>
      </c>
      <c r="B2563" t="s">
        <v>54</v>
      </c>
      <c r="E2563" s="3">
        <f>HYPERLINK("https://sao.dolgi.msk.ru/account/1404194088/", 1404194088)</f>
        <v>1404194088</v>
      </c>
      <c r="F2563">
        <v>-2348</v>
      </c>
    </row>
    <row r="2564" spans="1:6" hidden="1" x14ac:dyDescent="0.25">
      <c r="A2564" t="s">
        <v>643</v>
      </c>
      <c r="B2564" t="s">
        <v>55</v>
      </c>
      <c r="E2564" s="3">
        <f>HYPERLINK("https://sao.dolgi.msk.ru/account/1404194096/", 1404194096)</f>
        <v>1404194096</v>
      </c>
      <c r="F2564">
        <v>-1599.24</v>
      </c>
    </row>
    <row r="2565" spans="1:6" hidden="1" x14ac:dyDescent="0.25">
      <c r="A2565" t="s">
        <v>643</v>
      </c>
      <c r="B2565" t="s">
        <v>56</v>
      </c>
      <c r="E2565" s="3">
        <f>HYPERLINK("https://sao.dolgi.msk.ru/account/1404193886/", 1404193886)</f>
        <v>1404193886</v>
      </c>
      <c r="F2565">
        <v>-1358.5</v>
      </c>
    </row>
    <row r="2566" spans="1:6" hidden="1" x14ac:dyDescent="0.25">
      <c r="A2566" t="s">
        <v>643</v>
      </c>
      <c r="B2566" t="s">
        <v>57</v>
      </c>
      <c r="E2566" s="3">
        <f>HYPERLINK("https://sao.dolgi.msk.ru/account/1404193894/", 1404193894)</f>
        <v>1404193894</v>
      </c>
      <c r="F2566">
        <v>-1608.48</v>
      </c>
    </row>
    <row r="2567" spans="1:6" hidden="1" x14ac:dyDescent="0.25">
      <c r="A2567" t="s">
        <v>643</v>
      </c>
      <c r="B2567" t="s">
        <v>58</v>
      </c>
      <c r="E2567" s="3">
        <f>HYPERLINK("https://sao.dolgi.msk.ru/account/1404193907/", 1404193907)</f>
        <v>1404193907</v>
      </c>
      <c r="F2567">
        <v>-1547.02</v>
      </c>
    </row>
    <row r="2568" spans="1:6" hidden="1" x14ac:dyDescent="0.25">
      <c r="A2568" t="s">
        <v>643</v>
      </c>
      <c r="B2568" t="s">
        <v>59</v>
      </c>
      <c r="E2568" s="3">
        <f>HYPERLINK("https://sao.dolgi.msk.ru/account/1404193915/", 1404193915)</f>
        <v>1404193915</v>
      </c>
      <c r="F2568">
        <v>-2995.1</v>
      </c>
    </row>
    <row r="2569" spans="1:6" x14ac:dyDescent="0.25">
      <c r="A2569" t="s">
        <v>643</v>
      </c>
      <c r="B2569" t="s">
        <v>60</v>
      </c>
      <c r="C2569" s="5" t="str">
        <f>" кв. "&amp;B2569</f>
        <v xml:space="preserve"> кв. 56</v>
      </c>
      <c r="D2569" s="5" t="str">
        <f>CONCATENATE(A2569,C2569)</f>
        <v>Беломорская ул., дом 16 кв. 56</v>
      </c>
      <c r="E2569" s="3">
        <f>HYPERLINK("https://sao.dolgi.msk.ru/account/1404194627/", 1404194627)</f>
        <v>1404194627</v>
      </c>
      <c r="F2569">
        <v>1511.91</v>
      </c>
    </row>
    <row r="2570" spans="1:6" hidden="1" x14ac:dyDescent="0.25">
      <c r="A2570" t="s">
        <v>643</v>
      </c>
      <c r="B2570" t="s">
        <v>61</v>
      </c>
      <c r="E2570" s="3">
        <f>HYPERLINK("https://sao.dolgi.msk.ru/account/1404193712/", 1404193712)</f>
        <v>1404193712</v>
      </c>
      <c r="F2570">
        <v>-4342.16</v>
      </c>
    </row>
    <row r="2571" spans="1:6" x14ac:dyDescent="0.25">
      <c r="A2571" t="s">
        <v>643</v>
      </c>
      <c r="B2571" t="s">
        <v>62</v>
      </c>
      <c r="C2571" s="5" t="str">
        <f>" кв. "&amp;B2571</f>
        <v xml:space="preserve"> кв. 58</v>
      </c>
      <c r="D2571" s="5" t="str">
        <f>CONCATENATE(A2571,C2571)</f>
        <v>Беломорская ул., дом 16 кв. 58</v>
      </c>
      <c r="E2571" s="3">
        <f>HYPERLINK("https://sao.dolgi.msk.ru/account/1404194993/", 1404194993)</f>
        <v>1404194993</v>
      </c>
      <c r="F2571">
        <v>1094.4000000000001</v>
      </c>
    </row>
    <row r="2572" spans="1:6" hidden="1" x14ac:dyDescent="0.25">
      <c r="A2572" t="s">
        <v>643</v>
      </c>
      <c r="B2572" t="s">
        <v>63</v>
      </c>
      <c r="E2572" s="3">
        <f>HYPERLINK("https://sao.dolgi.msk.ru/account/1404195005/", 1404195005)</f>
        <v>1404195005</v>
      </c>
      <c r="F2572">
        <v>-1589.99</v>
      </c>
    </row>
    <row r="2573" spans="1:6" hidden="1" x14ac:dyDescent="0.25">
      <c r="A2573" t="s">
        <v>643</v>
      </c>
      <c r="B2573" t="s">
        <v>64</v>
      </c>
      <c r="E2573" s="3">
        <f>HYPERLINK("https://sao.dolgi.msk.ru/account/1404194408/", 1404194408)</f>
        <v>1404194408</v>
      </c>
      <c r="F2573">
        <v>0</v>
      </c>
    </row>
    <row r="2574" spans="1:6" hidden="1" x14ac:dyDescent="0.25">
      <c r="A2574" t="s">
        <v>643</v>
      </c>
      <c r="B2574" t="s">
        <v>65</v>
      </c>
      <c r="E2574" s="3">
        <f>HYPERLINK("https://sao.dolgi.msk.ru/account/1404193747/", 1404193747)</f>
        <v>1404193747</v>
      </c>
      <c r="F2574">
        <v>-1562.27</v>
      </c>
    </row>
    <row r="2575" spans="1:6" hidden="1" x14ac:dyDescent="0.25">
      <c r="A2575" t="s">
        <v>643</v>
      </c>
      <c r="B2575" t="s">
        <v>66</v>
      </c>
      <c r="E2575" s="3">
        <f>HYPERLINK("https://sao.dolgi.msk.ru/account/1404194184/", 1404194184)</f>
        <v>1404194184</v>
      </c>
      <c r="F2575">
        <v>-2976.61</v>
      </c>
    </row>
    <row r="2576" spans="1:6" hidden="1" x14ac:dyDescent="0.25">
      <c r="A2576" t="s">
        <v>643</v>
      </c>
      <c r="B2576" t="s">
        <v>67</v>
      </c>
      <c r="E2576" s="3">
        <f>HYPERLINK("https://sao.dolgi.msk.ru/account/1404193755/", 1404193755)</f>
        <v>1404193755</v>
      </c>
      <c r="F2576">
        <v>-2981.24</v>
      </c>
    </row>
    <row r="2577" spans="1:6" hidden="1" x14ac:dyDescent="0.25">
      <c r="A2577" t="s">
        <v>643</v>
      </c>
      <c r="B2577" t="s">
        <v>68</v>
      </c>
      <c r="E2577" s="3">
        <f>HYPERLINK("https://sao.dolgi.msk.ru/account/1404195013/", 1404195013)</f>
        <v>1404195013</v>
      </c>
      <c r="F2577">
        <v>-2320.29</v>
      </c>
    </row>
    <row r="2578" spans="1:6" hidden="1" x14ac:dyDescent="0.25">
      <c r="A2578" t="s">
        <v>643</v>
      </c>
      <c r="B2578" t="s">
        <v>69</v>
      </c>
      <c r="E2578" s="3">
        <f>HYPERLINK("https://sao.dolgi.msk.ru/account/1404194635/", 1404194635)</f>
        <v>1404194635</v>
      </c>
      <c r="F2578">
        <v>0</v>
      </c>
    </row>
    <row r="2579" spans="1:6" hidden="1" x14ac:dyDescent="0.25">
      <c r="A2579" t="s">
        <v>643</v>
      </c>
      <c r="B2579" t="s">
        <v>70</v>
      </c>
      <c r="E2579" s="3">
        <f>HYPERLINK("https://sao.dolgi.msk.ru/account/1404194643/", 1404194643)</f>
        <v>1404194643</v>
      </c>
      <c r="F2579">
        <v>0</v>
      </c>
    </row>
    <row r="2580" spans="1:6" hidden="1" x14ac:dyDescent="0.25">
      <c r="A2580" t="s">
        <v>643</v>
      </c>
      <c r="B2580" t="s">
        <v>71</v>
      </c>
      <c r="E2580" s="3">
        <f>HYPERLINK("https://sao.dolgi.msk.ru/account/1404193763/", 1404193763)</f>
        <v>1404193763</v>
      </c>
      <c r="F2580">
        <v>-1589.99</v>
      </c>
    </row>
    <row r="2581" spans="1:6" x14ac:dyDescent="0.25">
      <c r="A2581" t="s">
        <v>643</v>
      </c>
      <c r="B2581" t="s">
        <v>72</v>
      </c>
      <c r="C2581" s="5" t="str">
        <f>" кв. "&amp;B2581</f>
        <v xml:space="preserve"> кв. 68</v>
      </c>
      <c r="D2581" s="5" t="str">
        <f>CONCATENATE(A2581,C2581)</f>
        <v>Беломорская ул., дом 16 кв. 68</v>
      </c>
      <c r="E2581" s="3">
        <f>HYPERLINK("https://sao.dolgi.msk.ru/account/1404194811/", 1404194811)</f>
        <v>1404194811</v>
      </c>
      <c r="F2581">
        <v>1587.83</v>
      </c>
    </row>
    <row r="2582" spans="1:6" hidden="1" x14ac:dyDescent="0.25">
      <c r="A2582" t="s">
        <v>643</v>
      </c>
      <c r="B2582" t="s">
        <v>73</v>
      </c>
      <c r="E2582" s="3">
        <f>HYPERLINK("https://sao.dolgi.msk.ru/account/1404195021/", 1404195021)</f>
        <v>1404195021</v>
      </c>
      <c r="F2582">
        <v>-2235.9299999999998</v>
      </c>
    </row>
    <row r="2583" spans="1:6" hidden="1" x14ac:dyDescent="0.25">
      <c r="A2583" t="s">
        <v>643</v>
      </c>
      <c r="B2583" t="s">
        <v>74</v>
      </c>
      <c r="E2583" s="3">
        <f>HYPERLINK("https://sao.dolgi.msk.ru/account/1404194205/", 1404194205)</f>
        <v>1404194205</v>
      </c>
      <c r="F2583">
        <v>-2985.86</v>
      </c>
    </row>
    <row r="2584" spans="1:6" hidden="1" x14ac:dyDescent="0.25">
      <c r="A2584" t="s">
        <v>643</v>
      </c>
      <c r="B2584" t="s">
        <v>75</v>
      </c>
      <c r="E2584" s="3">
        <f>HYPERLINK("https://sao.dolgi.msk.ru/account/1404193923/", 1404193923)</f>
        <v>1404193923</v>
      </c>
      <c r="F2584">
        <v>-1961.85</v>
      </c>
    </row>
    <row r="2585" spans="1:6" hidden="1" x14ac:dyDescent="0.25">
      <c r="A2585" t="s">
        <v>643</v>
      </c>
      <c r="B2585" t="s">
        <v>76</v>
      </c>
      <c r="E2585" s="3">
        <f>HYPERLINK("https://sao.dolgi.msk.ru/account/1404194213/", 1404194213)</f>
        <v>1404194213</v>
      </c>
      <c r="F2585">
        <v>-1585.37</v>
      </c>
    </row>
    <row r="2586" spans="1:6" x14ac:dyDescent="0.25">
      <c r="A2586" t="s">
        <v>643</v>
      </c>
      <c r="B2586" t="s">
        <v>77</v>
      </c>
      <c r="C2586" s="5" t="str">
        <f>" кв. "&amp;B2586</f>
        <v xml:space="preserve"> кв. 73</v>
      </c>
      <c r="D2586" s="5" t="str">
        <f>CONCATENATE(A2586,C2586)</f>
        <v>Беломорская ул., дом 16 кв. 73</v>
      </c>
      <c r="E2586" s="3">
        <f>HYPERLINK("https://sao.dolgi.msk.ru/account/1404193931/", 1404193931)</f>
        <v>1404193931</v>
      </c>
      <c r="F2586">
        <v>1091.24</v>
      </c>
    </row>
    <row r="2587" spans="1:6" hidden="1" x14ac:dyDescent="0.25">
      <c r="A2587" t="s">
        <v>643</v>
      </c>
      <c r="B2587" t="s">
        <v>78</v>
      </c>
      <c r="E2587" s="3">
        <f>HYPERLINK("https://sao.dolgi.msk.ru/account/1404193771/", 1404193771)</f>
        <v>1404193771</v>
      </c>
      <c r="F2587">
        <v>0</v>
      </c>
    </row>
    <row r="2588" spans="1:6" x14ac:dyDescent="0.25">
      <c r="A2588" t="s">
        <v>643</v>
      </c>
      <c r="B2588" t="s">
        <v>79</v>
      </c>
      <c r="C2588" s="5" t="str">
        <f t="shared" ref="C2588:C2590" si="112">" кв. "&amp;B2588</f>
        <v xml:space="preserve"> кв. 75</v>
      </c>
      <c r="D2588" s="5" t="str">
        <f>CONCATENATE(A2588,C2588)</f>
        <v>Беломорская ул., дом 16 кв. 75</v>
      </c>
      <c r="E2588" s="3">
        <f>HYPERLINK("https://sao.dolgi.msk.ru/account/1404194109/", 1404194109)</f>
        <v>1404194109</v>
      </c>
      <c r="F2588">
        <v>1600.48</v>
      </c>
    </row>
    <row r="2589" spans="1:6" x14ac:dyDescent="0.25">
      <c r="A2589" t="s">
        <v>643</v>
      </c>
      <c r="B2589" t="s">
        <v>80</v>
      </c>
      <c r="C2589" s="5" t="str">
        <f t="shared" si="112"/>
        <v xml:space="preserve"> кв. 76</v>
      </c>
      <c r="D2589" s="5" t="str">
        <f>CONCATENATE(A2589,C2589)</f>
        <v>Беломорская ул., дом 16 кв. 76</v>
      </c>
      <c r="E2589" s="3">
        <f>HYPERLINK("https://sao.dolgi.msk.ru/account/1404194117/", 1404194117)</f>
        <v>1404194117</v>
      </c>
      <c r="F2589">
        <v>2043.3</v>
      </c>
    </row>
    <row r="2590" spans="1:6" x14ac:dyDescent="0.25">
      <c r="A2590" t="s">
        <v>643</v>
      </c>
      <c r="B2590" t="s">
        <v>81</v>
      </c>
      <c r="C2590" s="5" t="str">
        <f t="shared" si="112"/>
        <v xml:space="preserve"> кв. 77</v>
      </c>
      <c r="D2590" s="5" t="str">
        <f>CONCATENATE(A2590,C2590)</f>
        <v>Беломорская ул., дом 16 кв. 77</v>
      </c>
      <c r="E2590" s="3">
        <f>HYPERLINK("https://sao.dolgi.msk.ru/account/1404193974/", 1404193974)</f>
        <v>1404193974</v>
      </c>
      <c r="F2590">
        <v>2033.81</v>
      </c>
    </row>
    <row r="2591" spans="1:6" hidden="1" x14ac:dyDescent="0.25">
      <c r="A2591" t="s">
        <v>643</v>
      </c>
      <c r="B2591" t="s">
        <v>82</v>
      </c>
      <c r="E2591" s="3">
        <f>HYPERLINK("https://sao.dolgi.msk.ru/account/1404194221/", 1404194221)</f>
        <v>1404194221</v>
      </c>
      <c r="F2591">
        <v>0</v>
      </c>
    </row>
    <row r="2592" spans="1:6" x14ac:dyDescent="0.25">
      <c r="A2592" t="s">
        <v>643</v>
      </c>
      <c r="B2592" t="s">
        <v>83</v>
      </c>
      <c r="C2592" s="5" t="str">
        <f>" кв. "&amp;B2592</f>
        <v xml:space="preserve"> кв. 79</v>
      </c>
      <c r="D2592" s="5" t="str">
        <f>CONCATENATE(A2592,C2592)</f>
        <v>Беломорская ул., дом 16 кв. 79</v>
      </c>
      <c r="E2592" s="3">
        <f>HYPERLINK("https://sao.dolgi.msk.ru/account/1404194838/", 1404194838)</f>
        <v>1404194838</v>
      </c>
      <c r="F2592">
        <v>1094.4000000000001</v>
      </c>
    </row>
    <row r="2593" spans="1:6" hidden="1" x14ac:dyDescent="0.25">
      <c r="A2593" t="s">
        <v>643</v>
      </c>
      <c r="B2593" t="s">
        <v>84</v>
      </c>
      <c r="E2593" s="3">
        <f>HYPERLINK("https://sao.dolgi.msk.ru/account/1404194846/", 1404194846)</f>
        <v>1404194846</v>
      </c>
      <c r="F2593">
        <v>0</v>
      </c>
    </row>
    <row r="2594" spans="1:6" hidden="1" x14ac:dyDescent="0.25">
      <c r="A2594" t="s">
        <v>643</v>
      </c>
      <c r="B2594" t="s">
        <v>85</v>
      </c>
      <c r="E2594" s="3">
        <f>HYPERLINK("https://sao.dolgi.msk.ru/account/1404193958/", 1404193958)</f>
        <v>1404193958</v>
      </c>
      <c r="F2594">
        <v>-1594.62</v>
      </c>
    </row>
    <row r="2595" spans="1:6" hidden="1" x14ac:dyDescent="0.25">
      <c r="A2595" t="s">
        <v>643</v>
      </c>
      <c r="B2595" t="s">
        <v>86</v>
      </c>
      <c r="E2595" s="3">
        <f>HYPERLINK("https://sao.dolgi.msk.ru/account/1404194248/", 1404194248)</f>
        <v>1404194248</v>
      </c>
      <c r="F2595">
        <v>-2324.91</v>
      </c>
    </row>
    <row r="2596" spans="1:6" hidden="1" x14ac:dyDescent="0.25">
      <c r="A2596" t="s">
        <v>643</v>
      </c>
      <c r="B2596" t="s">
        <v>87</v>
      </c>
      <c r="E2596" s="3">
        <f>HYPERLINK("https://sao.dolgi.msk.ru/account/1404194678/", 1404194678)</f>
        <v>1404194678</v>
      </c>
      <c r="F2596">
        <v>-2218.6</v>
      </c>
    </row>
    <row r="2597" spans="1:6" x14ac:dyDescent="0.25">
      <c r="A2597" t="s">
        <v>643</v>
      </c>
      <c r="B2597" t="s">
        <v>88</v>
      </c>
      <c r="C2597" s="5" t="str">
        <f>" кв. "&amp;B2597</f>
        <v xml:space="preserve"> кв. 84</v>
      </c>
      <c r="D2597" s="5" t="str">
        <f>CONCATENATE(A2597,C2597)</f>
        <v>Беломорская ул., дом 16 кв. 84</v>
      </c>
      <c r="E2597" s="3">
        <f>HYPERLINK("https://sao.dolgi.msk.ru/account/1404194686/", 1404194686)</f>
        <v>1404194686</v>
      </c>
      <c r="F2597">
        <v>2030.65</v>
      </c>
    </row>
    <row r="2598" spans="1:6" hidden="1" x14ac:dyDescent="0.25">
      <c r="A2598" t="s">
        <v>643</v>
      </c>
      <c r="B2598" t="s">
        <v>89</v>
      </c>
      <c r="E2598" s="3">
        <f>HYPERLINK("https://sao.dolgi.msk.ru/account/1404194395/", 1404194395)</f>
        <v>1404194395</v>
      </c>
      <c r="F2598">
        <v>-1743.68</v>
      </c>
    </row>
    <row r="2599" spans="1:6" x14ac:dyDescent="0.25">
      <c r="A2599" t="s">
        <v>643</v>
      </c>
      <c r="B2599" t="s">
        <v>90</v>
      </c>
      <c r="C2599" s="5" t="str">
        <f t="shared" ref="C2599:C2600" si="113">" кв. "&amp;B2599</f>
        <v xml:space="preserve"> кв. 86</v>
      </c>
      <c r="D2599" s="5" t="str">
        <f>CONCATENATE(A2599,C2599)</f>
        <v>Беломорская ул., дом 16 кв. 86</v>
      </c>
      <c r="E2599" s="3">
        <f>HYPERLINK("https://sao.dolgi.msk.ru/account/1404194176/", 1404194176)</f>
        <v>1404194176</v>
      </c>
      <c r="F2599">
        <v>1088.07</v>
      </c>
    </row>
    <row r="2600" spans="1:6" x14ac:dyDescent="0.25">
      <c r="A2600" t="s">
        <v>643</v>
      </c>
      <c r="B2600" t="s">
        <v>91</v>
      </c>
      <c r="C2600" s="5" t="str">
        <f t="shared" si="113"/>
        <v xml:space="preserve"> кв. 87</v>
      </c>
      <c r="D2600" s="5" t="str">
        <f>CONCATENATE(A2600,C2600)</f>
        <v>Беломорская ул., дом 16 кв. 87</v>
      </c>
      <c r="E2600" s="3">
        <f>HYPERLINK("https://sao.dolgi.msk.ru/account/1404194053/", 1404194053)</f>
        <v>1404194053</v>
      </c>
      <c r="F2600">
        <v>1091.24</v>
      </c>
    </row>
    <row r="2601" spans="1:6" hidden="1" x14ac:dyDescent="0.25">
      <c r="A2601" t="s">
        <v>643</v>
      </c>
      <c r="B2601" t="s">
        <v>92</v>
      </c>
      <c r="E2601" s="3">
        <f>HYPERLINK("https://sao.dolgi.msk.ru/account/1404194571/", 1404194571)</f>
        <v>1404194571</v>
      </c>
      <c r="F2601">
        <v>-1594.62</v>
      </c>
    </row>
    <row r="2602" spans="1:6" x14ac:dyDescent="0.25">
      <c r="A2602" t="s">
        <v>643</v>
      </c>
      <c r="B2602" t="s">
        <v>93</v>
      </c>
      <c r="C2602" s="5" t="str">
        <f t="shared" ref="C2602:C2603" si="114">" кв. "&amp;B2602</f>
        <v xml:space="preserve"> кв. 89</v>
      </c>
      <c r="D2602" s="5" t="str">
        <f>CONCATENATE(A2602,C2602)</f>
        <v>Беломорская ул., дом 16 кв. 89</v>
      </c>
      <c r="E2602" s="3">
        <f>HYPERLINK("https://sao.dolgi.msk.ru/account/1404194598/", 1404194598)</f>
        <v>1404194598</v>
      </c>
      <c r="F2602">
        <v>920.43</v>
      </c>
    </row>
    <row r="2603" spans="1:6" x14ac:dyDescent="0.25">
      <c r="A2603" t="s">
        <v>643</v>
      </c>
      <c r="B2603" t="s">
        <v>94</v>
      </c>
      <c r="C2603" s="5" t="str">
        <f t="shared" si="114"/>
        <v xml:space="preserve"> кв. 90</v>
      </c>
      <c r="D2603" s="5" t="str">
        <f>CONCATENATE(A2603,C2603)</f>
        <v>Беломорская ул., дом 16 кв. 90</v>
      </c>
      <c r="E2603" s="3">
        <f>HYPERLINK("https://sao.dolgi.msk.ru/account/1404193704/", 1404193704)</f>
        <v>1404193704</v>
      </c>
      <c r="F2603">
        <v>2040.14</v>
      </c>
    </row>
    <row r="2604" spans="1:6" hidden="1" x14ac:dyDescent="0.25">
      <c r="A2604" t="s">
        <v>643</v>
      </c>
      <c r="B2604" t="s">
        <v>95</v>
      </c>
      <c r="E2604" s="3">
        <f>HYPERLINK("https://sao.dolgi.msk.ru/account/1404194344/", 1404194344)</f>
        <v>1404194344</v>
      </c>
      <c r="F2604">
        <v>-2510.6999999999998</v>
      </c>
    </row>
    <row r="2605" spans="1:6" x14ac:dyDescent="0.25">
      <c r="A2605" t="s">
        <v>643</v>
      </c>
      <c r="B2605" t="s">
        <v>96</v>
      </c>
      <c r="C2605" s="5" t="str">
        <f t="shared" ref="C2605:C2607" si="115">" кв. "&amp;B2605</f>
        <v xml:space="preserve"> кв. 92</v>
      </c>
      <c r="D2605" s="5" t="str">
        <f>CONCATENATE(A2605,C2605)</f>
        <v>Беломорская ул., дом 16 кв. 92</v>
      </c>
      <c r="E2605" s="3">
        <f>HYPERLINK("https://sao.dolgi.msk.ru/account/1404193835/", 1404193835)</f>
        <v>1404193835</v>
      </c>
      <c r="F2605">
        <v>1597.32</v>
      </c>
    </row>
    <row r="2606" spans="1:6" x14ac:dyDescent="0.25">
      <c r="A2606" t="s">
        <v>643</v>
      </c>
      <c r="B2606" t="s">
        <v>97</v>
      </c>
      <c r="C2606" s="5" t="str">
        <f t="shared" si="115"/>
        <v xml:space="preserve"> кв. 93</v>
      </c>
      <c r="D2606" s="5" t="str">
        <f>CONCATENATE(A2606,C2606)</f>
        <v>Беломорская ул., дом 16 кв. 93</v>
      </c>
      <c r="E2606" s="3">
        <f>HYPERLINK("https://sao.dolgi.msk.ru/account/1404193843/", 1404193843)</f>
        <v>1404193843</v>
      </c>
      <c r="F2606">
        <v>1091.24</v>
      </c>
    </row>
    <row r="2607" spans="1:6" x14ac:dyDescent="0.25">
      <c r="A2607" t="s">
        <v>643</v>
      </c>
      <c r="B2607" t="s">
        <v>98</v>
      </c>
      <c r="C2607" s="5" t="str">
        <f t="shared" si="115"/>
        <v xml:space="preserve"> кв. 94</v>
      </c>
      <c r="D2607" s="5" t="str">
        <f>CONCATENATE(A2607,C2607)</f>
        <v>Беломорская ул., дом 16 кв. 94</v>
      </c>
      <c r="E2607" s="3">
        <f>HYPERLINK("https://sao.dolgi.msk.ru/account/1404194168/", 1404194168)</f>
        <v>1404194168</v>
      </c>
      <c r="F2607">
        <v>1091.24</v>
      </c>
    </row>
    <row r="2608" spans="1:6" hidden="1" x14ac:dyDescent="0.25">
      <c r="A2608" t="s">
        <v>643</v>
      </c>
      <c r="B2608" t="s">
        <v>99</v>
      </c>
      <c r="E2608" s="3">
        <f>HYPERLINK("https://sao.dolgi.msk.ru/account/1404194352/", 1404194352)</f>
        <v>1404194352</v>
      </c>
      <c r="F2608">
        <v>0</v>
      </c>
    </row>
    <row r="2609" spans="1:6" hidden="1" x14ac:dyDescent="0.25">
      <c r="A2609" t="s">
        <v>643</v>
      </c>
      <c r="B2609" t="s">
        <v>100</v>
      </c>
      <c r="E2609" s="3">
        <f>HYPERLINK("https://sao.dolgi.msk.ru/account/1404194985/", 1404194985)</f>
        <v>1404194985</v>
      </c>
      <c r="F2609">
        <v>0</v>
      </c>
    </row>
    <row r="2610" spans="1:6" x14ac:dyDescent="0.25">
      <c r="A2610" t="s">
        <v>643</v>
      </c>
      <c r="B2610" t="s">
        <v>101</v>
      </c>
      <c r="C2610" s="5" t="str">
        <f>" кв. "&amp;B2610</f>
        <v xml:space="preserve"> кв. 97</v>
      </c>
      <c r="D2610" s="5" t="str">
        <f>CONCATENATE(A2610,C2610)</f>
        <v>Беломорская ул., дом 16 кв. 97</v>
      </c>
      <c r="E2610" s="3">
        <f>HYPERLINK("https://sao.dolgi.msk.ru/account/1404194803/", 1404194803)</f>
        <v>1404194803</v>
      </c>
      <c r="F2610">
        <v>1016.91</v>
      </c>
    </row>
    <row r="2611" spans="1:6" hidden="1" x14ac:dyDescent="0.25">
      <c r="A2611" t="s">
        <v>643</v>
      </c>
      <c r="B2611" t="s">
        <v>102</v>
      </c>
      <c r="E2611" s="3">
        <f>HYPERLINK("https://sao.dolgi.msk.ru/account/1404194379/", 1404194379)</f>
        <v>1404194379</v>
      </c>
      <c r="F2611">
        <v>-1979.44</v>
      </c>
    </row>
    <row r="2612" spans="1:6" hidden="1" x14ac:dyDescent="0.25">
      <c r="A2612" t="s">
        <v>643</v>
      </c>
      <c r="B2612" t="s">
        <v>103</v>
      </c>
      <c r="E2612" s="3">
        <f>HYPERLINK("https://sao.dolgi.msk.ru/account/1404194387/", 1404194387)</f>
        <v>1404194387</v>
      </c>
      <c r="F2612">
        <v>-1429.17</v>
      </c>
    </row>
    <row r="2613" spans="1:6" hidden="1" x14ac:dyDescent="0.25">
      <c r="A2613" t="s">
        <v>643</v>
      </c>
      <c r="B2613" t="s">
        <v>104</v>
      </c>
      <c r="E2613" s="3">
        <f>HYPERLINK("https://sao.dolgi.msk.ru/account/1404194424/", 1404194424)</f>
        <v>1404194424</v>
      </c>
      <c r="F2613">
        <v>-1585.37</v>
      </c>
    </row>
    <row r="2614" spans="1:6" hidden="1" x14ac:dyDescent="0.25">
      <c r="A2614" t="s">
        <v>643</v>
      </c>
      <c r="B2614" t="s">
        <v>105</v>
      </c>
      <c r="E2614" s="3">
        <f>HYPERLINK("https://sao.dolgi.msk.ru/account/1404194432/", 1404194432)</f>
        <v>1404194432</v>
      </c>
      <c r="F2614">
        <v>-2223.16</v>
      </c>
    </row>
    <row r="2615" spans="1:6" hidden="1" x14ac:dyDescent="0.25">
      <c r="A2615" t="s">
        <v>643</v>
      </c>
      <c r="B2615" t="s">
        <v>106</v>
      </c>
      <c r="E2615" s="3">
        <f>HYPERLINK("https://sao.dolgi.msk.ru/account/1404194715/", 1404194715)</f>
        <v>1404194715</v>
      </c>
      <c r="F2615">
        <v>-1594.62</v>
      </c>
    </row>
    <row r="2616" spans="1:6" x14ac:dyDescent="0.25">
      <c r="A2616" t="s">
        <v>643</v>
      </c>
      <c r="B2616" t="s">
        <v>107</v>
      </c>
      <c r="C2616" s="5" t="str">
        <f>" кв. "&amp;B2616</f>
        <v xml:space="preserve"> кв. 103</v>
      </c>
      <c r="D2616" s="5" t="str">
        <f>CONCATENATE(A2616,C2616)</f>
        <v>Беломорская ул., дом 16 кв. 103</v>
      </c>
      <c r="E2616" s="3">
        <f>HYPERLINK("https://sao.dolgi.msk.ru/account/1404193798/", 1404193798)</f>
        <v>1404193798</v>
      </c>
      <c r="F2616">
        <v>1600.48</v>
      </c>
    </row>
    <row r="2617" spans="1:6" hidden="1" x14ac:dyDescent="0.25">
      <c r="A2617" t="s">
        <v>643</v>
      </c>
      <c r="B2617" t="s">
        <v>108</v>
      </c>
      <c r="E2617" s="3">
        <f>HYPERLINK("https://sao.dolgi.msk.ru/account/1404194723/", 1404194723)</f>
        <v>1404194723</v>
      </c>
      <c r="F2617">
        <v>-2502.89</v>
      </c>
    </row>
    <row r="2618" spans="1:6" x14ac:dyDescent="0.25">
      <c r="A2618" t="s">
        <v>643</v>
      </c>
      <c r="B2618" t="s">
        <v>109</v>
      </c>
      <c r="C2618" s="5" t="str">
        <f>" кв. "&amp;B2618</f>
        <v xml:space="preserve"> кв. 105</v>
      </c>
      <c r="D2618" s="5" t="str">
        <f>CONCATENATE(A2618,C2618)</f>
        <v>Беломорская ул., дом 16 кв. 105</v>
      </c>
      <c r="E2618" s="3">
        <f>HYPERLINK("https://sao.dolgi.msk.ru/account/1404194133/", 1404194133)</f>
        <v>1404194133</v>
      </c>
      <c r="F2618">
        <v>2046.46</v>
      </c>
    </row>
    <row r="2619" spans="1:6" hidden="1" x14ac:dyDescent="0.25">
      <c r="A2619" t="s">
        <v>643</v>
      </c>
      <c r="B2619" t="s">
        <v>110</v>
      </c>
      <c r="E2619" s="3">
        <f>HYPERLINK("https://sao.dolgi.msk.ru/account/1404194459/", 1404194459)</f>
        <v>1404194459</v>
      </c>
      <c r="F2619">
        <v>0</v>
      </c>
    </row>
    <row r="2620" spans="1:6" hidden="1" x14ac:dyDescent="0.25">
      <c r="A2620" t="s">
        <v>643</v>
      </c>
      <c r="B2620" t="s">
        <v>111</v>
      </c>
      <c r="E2620" s="3">
        <f>HYPERLINK("https://sao.dolgi.msk.ru/account/1404194467/", 1404194467)</f>
        <v>1404194467</v>
      </c>
      <c r="F2620">
        <v>-1585.37</v>
      </c>
    </row>
    <row r="2621" spans="1:6" hidden="1" x14ac:dyDescent="0.25">
      <c r="A2621" t="s">
        <v>643</v>
      </c>
      <c r="B2621" t="s">
        <v>112</v>
      </c>
      <c r="E2621" s="3">
        <f>HYPERLINK("https://sao.dolgi.msk.ru/account/1404194272/", 1404194272)</f>
        <v>1404194272</v>
      </c>
      <c r="F2621">
        <v>0</v>
      </c>
    </row>
    <row r="2622" spans="1:6" hidden="1" x14ac:dyDescent="0.25">
      <c r="A2622" t="s">
        <v>643</v>
      </c>
      <c r="B2622" t="s">
        <v>113</v>
      </c>
      <c r="E2622" s="3">
        <f>HYPERLINK("https://sao.dolgi.msk.ru/account/1404194141/", 1404194141)</f>
        <v>1404194141</v>
      </c>
      <c r="F2622">
        <v>-1346.82</v>
      </c>
    </row>
    <row r="2623" spans="1:6" x14ac:dyDescent="0.25">
      <c r="A2623" t="s">
        <v>643</v>
      </c>
      <c r="B2623" t="s">
        <v>114</v>
      </c>
      <c r="C2623" s="5" t="str">
        <f t="shared" ref="C2623:C2625" si="116">" кв. "&amp;B2623</f>
        <v xml:space="preserve"> кв. 110</v>
      </c>
      <c r="D2623" s="5" t="str">
        <f>CONCATENATE(A2623,C2623)</f>
        <v>Беломорская ул., дом 16 кв. 110</v>
      </c>
      <c r="E2623" s="3">
        <f>HYPERLINK("https://sao.dolgi.msk.ru/account/1404194766/", 1404194766)</f>
        <v>1404194766</v>
      </c>
      <c r="F2623">
        <v>1590.99</v>
      </c>
    </row>
    <row r="2624" spans="1:6" x14ac:dyDescent="0.25">
      <c r="A2624" t="s">
        <v>643</v>
      </c>
      <c r="B2624" t="s">
        <v>115</v>
      </c>
      <c r="C2624" s="5" t="str">
        <f t="shared" si="116"/>
        <v xml:space="preserve"> кв. 111</v>
      </c>
      <c r="D2624" s="5" t="str">
        <f>CONCATENATE(A2624,C2624)</f>
        <v>Беломорская ул., дом 16 кв. 111</v>
      </c>
      <c r="E2624" s="3">
        <f>HYPERLINK("https://sao.dolgi.msk.ru/account/1404194926/", 1404194926)</f>
        <v>1404194926</v>
      </c>
      <c r="F2624">
        <v>1192.45</v>
      </c>
    </row>
    <row r="2625" spans="1:6" x14ac:dyDescent="0.25">
      <c r="A2625" t="s">
        <v>644</v>
      </c>
      <c r="B2625" t="s">
        <v>5</v>
      </c>
      <c r="C2625" s="5" t="str">
        <f t="shared" si="116"/>
        <v xml:space="preserve"> кв. 1</v>
      </c>
      <c r="D2625" s="5" t="str">
        <f>CONCATENATE(A2625,C2625)</f>
        <v>Беломорская ул., дом 18А кв. 1</v>
      </c>
      <c r="E2625" s="3">
        <f>HYPERLINK("https://sao.dolgi.msk.ru/account/1404107159/", 1404107159)</f>
        <v>1404107159</v>
      </c>
      <c r="F2625">
        <v>25653.64</v>
      </c>
    </row>
    <row r="2626" spans="1:6" hidden="1" x14ac:dyDescent="0.25">
      <c r="A2626" t="s">
        <v>644</v>
      </c>
      <c r="B2626" t="s">
        <v>6</v>
      </c>
      <c r="E2626" s="3">
        <f>HYPERLINK("https://sao.dolgi.msk.ru/account/1404107167/", 1404107167)</f>
        <v>1404107167</v>
      </c>
      <c r="F2626">
        <v>-7351.37</v>
      </c>
    </row>
    <row r="2627" spans="1:6" x14ac:dyDescent="0.25">
      <c r="A2627" t="s">
        <v>644</v>
      </c>
      <c r="B2627" t="s">
        <v>7</v>
      </c>
      <c r="C2627" s="5" t="str">
        <f>" кв. "&amp;B2627</f>
        <v xml:space="preserve"> кв. 3</v>
      </c>
      <c r="D2627" s="5" t="str">
        <f>CONCATENATE(A2627,C2627)</f>
        <v>Беломорская ул., дом 18А кв. 3</v>
      </c>
      <c r="E2627" s="3">
        <f>HYPERLINK("https://sao.dolgi.msk.ru/account/1404107327/", 1404107327)</f>
        <v>1404107327</v>
      </c>
      <c r="F2627">
        <v>108919.86</v>
      </c>
    </row>
    <row r="2628" spans="1:6" hidden="1" x14ac:dyDescent="0.25">
      <c r="A2628" t="s">
        <v>644</v>
      </c>
      <c r="B2628" t="s">
        <v>8</v>
      </c>
      <c r="E2628" s="3">
        <f>HYPERLINK("https://sao.dolgi.msk.ru/account/1404107335/", 1404107335)</f>
        <v>1404107335</v>
      </c>
      <c r="F2628">
        <v>-6368.84</v>
      </c>
    </row>
    <row r="2629" spans="1:6" hidden="1" x14ac:dyDescent="0.25">
      <c r="A2629" t="s">
        <v>644</v>
      </c>
      <c r="B2629" t="s">
        <v>9</v>
      </c>
      <c r="E2629" s="3">
        <f>HYPERLINK("https://sao.dolgi.msk.ru/account/1404107343/", 1404107343)</f>
        <v>1404107343</v>
      </c>
      <c r="F2629">
        <v>0</v>
      </c>
    </row>
    <row r="2630" spans="1:6" hidden="1" x14ac:dyDescent="0.25">
      <c r="A2630" t="s">
        <v>644</v>
      </c>
      <c r="B2630" t="s">
        <v>10</v>
      </c>
      <c r="E2630" s="3">
        <f>HYPERLINK("https://sao.dolgi.msk.ru/account/1404106447/", 1404106447)</f>
        <v>1404106447</v>
      </c>
      <c r="F2630">
        <v>0</v>
      </c>
    </row>
    <row r="2631" spans="1:6" hidden="1" x14ac:dyDescent="0.25">
      <c r="A2631" t="s">
        <v>644</v>
      </c>
      <c r="B2631" t="s">
        <v>11</v>
      </c>
      <c r="E2631" s="3">
        <f>HYPERLINK("https://sao.dolgi.msk.ru/account/1404107618/", 1404107618)</f>
        <v>1404107618</v>
      </c>
      <c r="F2631">
        <v>-7190.85</v>
      </c>
    </row>
    <row r="2632" spans="1:6" hidden="1" x14ac:dyDescent="0.25">
      <c r="A2632" t="s">
        <v>644</v>
      </c>
      <c r="B2632" t="s">
        <v>12</v>
      </c>
      <c r="E2632" s="3">
        <f>HYPERLINK("https://sao.dolgi.msk.ru/account/1404106885/", 1404106885)</f>
        <v>1404106885</v>
      </c>
      <c r="F2632">
        <v>-5577.77</v>
      </c>
    </row>
    <row r="2633" spans="1:6" hidden="1" x14ac:dyDescent="0.25">
      <c r="A2633" t="s">
        <v>644</v>
      </c>
      <c r="B2633" t="s">
        <v>13</v>
      </c>
      <c r="E2633" s="3">
        <f>HYPERLINK("https://sao.dolgi.msk.ru/account/1404106893/", 1404106893)</f>
        <v>1404106893</v>
      </c>
      <c r="F2633">
        <v>-5932.91</v>
      </c>
    </row>
    <row r="2634" spans="1:6" hidden="1" x14ac:dyDescent="0.25">
      <c r="A2634" t="s">
        <v>644</v>
      </c>
      <c r="B2634" t="s">
        <v>14</v>
      </c>
      <c r="E2634" s="3">
        <f>HYPERLINK("https://sao.dolgi.msk.ru/account/1404106244/", 1404106244)</f>
        <v>1404106244</v>
      </c>
      <c r="F2634">
        <v>-5599.16</v>
      </c>
    </row>
    <row r="2635" spans="1:6" hidden="1" x14ac:dyDescent="0.25">
      <c r="A2635" t="s">
        <v>644</v>
      </c>
      <c r="B2635" t="s">
        <v>15</v>
      </c>
      <c r="E2635" s="3">
        <f>HYPERLINK("https://sao.dolgi.msk.ru/account/1404106455/", 1404106455)</f>
        <v>1404106455</v>
      </c>
      <c r="F2635">
        <v>-4026.96</v>
      </c>
    </row>
    <row r="2636" spans="1:6" hidden="1" x14ac:dyDescent="0.25">
      <c r="A2636" t="s">
        <v>644</v>
      </c>
      <c r="B2636" t="s">
        <v>16</v>
      </c>
      <c r="E2636" s="3">
        <f>HYPERLINK("https://sao.dolgi.msk.ru/account/1404107175/", 1404107175)</f>
        <v>1404107175</v>
      </c>
      <c r="F2636">
        <v>-10233.620000000001</v>
      </c>
    </row>
    <row r="2637" spans="1:6" hidden="1" x14ac:dyDescent="0.25">
      <c r="A2637" t="s">
        <v>644</v>
      </c>
      <c r="B2637" t="s">
        <v>17</v>
      </c>
      <c r="E2637" s="3">
        <f>HYPERLINK("https://sao.dolgi.msk.ru/account/1404107183/", 1404107183)</f>
        <v>1404107183</v>
      </c>
      <c r="F2637">
        <v>-6067.93</v>
      </c>
    </row>
    <row r="2638" spans="1:6" hidden="1" x14ac:dyDescent="0.25">
      <c r="A2638" t="s">
        <v>644</v>
      </c>
      <c r="B2638" t="s">
        <v>18</v>
      </c>
      <c r="E2638" s="3">
        <f>HYPERLINK("https://sao.dolgi.msk.ru/account/1404106906/", 1404106906)</f>
        <v>1404106906</v>
      </c>
      <c r="F2638">
        <v>-3453.91</v>
      </c>
    </row>
    <row r="2639" spans="1:6" hidden="1" x14ac:dyDescent="0.25">
      <c r="A2639" t="s">
        <v>644</v>
      </c>
      <c r="B2639" t="s">
        <v>19</v>
      </c>
      <c r="E2639" s="3">
        <f>HYPERLINK("https://sao.dolgi.msk.ru/account/1404106252/", 1404106252)</f>
        <v>1404106252</v>
      </c>
      <c r="F2639">
        <v>-11868.11</v>
      </c>
    </row>
    <row r="2640" spans="1:6" hidden="1" x14ac:dyDescent="0.25">
      <c r="A2640" t="s">
        <v>644</v>
      </c>
      <c r="B2640" t="s">
        <v>20</v>
      </c>
      <c r="E2640" s="3">
        <f>HYPERLINK("https://sao.dolgi.msk.ru/account/1404106463/", 1404106463)</f>
        <v>1404106463</v>
      </c>
      <c r="F2640">
        <v>0</v>
      </c>
    </row>
    <row r="2641" spans="1:6" hidden="1" x14ac:dyDescent="0.25">
      <c r="A2641" t="s">
        <v>644</v>
      </c>
      <c r="B2641" t="s">
        <v>21</v>
      </c>
      <c r="E2641" s="3">
        <f>HYPERLINK("https://sao.dolgi.msk.ru/account/1404106471/", 1404106471)</f>
        <v>1404106471</v>
      </c>
      <c r="F2641">
        <v>-4664.8900000000003</v>
      </c>
    </row>
    <row r="2642" spans="1:6" hidden="1" x14ac:dyDescent="0.25">
      <c r="A2642" t="s">
        <v>644</v>
      </c>
      <c r="B2642" t="s">
        <v>22</v>
      </c>
      <c r="E2642" s="3">
        <f>HYPERLINK("https://sao.dolgi.msk.ru/account/1404106498/", 1404106498)</f>
        <v>1404106498</v>
      </c>
      <c r="F2642">
        <v>-9175.09</v>
      </c>
    </row>
    <row r="2643" spans="1:6" hidden="1" x14ac:dyDescent="0.25">
      <c r="A2643" t="s">
        <v>644</v>
      </c>
      <c r="B2643" t="s">
        <v>23</v>
      </c>
      <c r="E2643" s="3">
        <f>HYPERLINK("https://sao.dolgi.msk.ru/account/1404107351/", 1404107351)</f>
        <v>1404107351</v>
      </c>
      <c r="F2643">
        <v>-7610.69</v>
      </c>
    </row>
    <row r="2644" spans="1:6" hidden="1" x14ac:dyDescent="0.25">
      <c r="A2644" t="s">
        <v>644</v>
      </c>
      <c r="B2644" t="s">
        <v>24</v>
      </c>
      <c r="E2644" s="3">
        <f>HYPERLINK("https://sao.dolgi.msk.ru/account/1404106519/", 1404106519)</f>
        <v>1404106519</v>
      </c>
      <c r="F2644">
        <v>-7601.83</v>
      </c>
    </row>
    <row r="2645" spans="1:6" hidden="1" x14ac:dyDescent="0.25">
      <c r="A2645" t="s">
        <v>644</v>
      </c>
      <c r="B2645" t="s">
        <v>25</v>
      </c>
      <c r="E2645" s="3">
        <f>HYPERLINK("https://sao.dolgi.msk.ru/account/1404106084/", 1404106084)</f>
        <v>1404106084</v>
      </c>
      <c r="F2645">
        <v>-5575.32</v>
      </c>
    </row>
    <row r="2646" spans="1:6" hidden="1" x14ac:dyDescent="0.25">
      <c r="A2646" t="s">
        <v>644</v>
      </c>
      <c r="B2646" t="s">
        <v>26</v>
      </c>
      <c r="E2646" s="3">
        <f>HYPERLINK("https://sao.dolgi.msk.ru/account/1404106738/", 1404106738)</f>
        <v>1404106738</v>
      </c>
      <c r="F2646">
        <v>-6270.79</v>
      </c>
    </row>
    <row r="2647" spans="1:6" x14ac:dyDescent="0.25">
      <c r="A2647" t="s">
        <v>644</v>
      </c>
      <c r="B2647" t="s">
        <v>27</v>
      </c>
      <c r="C2647" s="5" t="str">
        <f>" кв. "&amp;B2647</f>
        <v xml:space="preserve"> кв. 23</v>
      </c>
      <c r="D2647" s="5" t="str">
        <f>CONCATENATE(A2647,C2647)</f>
        <v>Беломорская ул., дом 18А кв. 23</v>
      </c>
      <c r="E2647" s="3">
        <f>HYPERLINK("https://sao.dolgi.msk.ru/account/1404107378/", 1404107378)</f>
        <v>1404107378</v>
      </c>
      <c r="F2647">
        <v>8341.06</v>
      </c>
    </row>
    <row r="2648" spans="1:6" hidden="1" x14ac:dyDescent="0.25">
      <c r="A2648" t="s">
        <v>644</v>
      </c>
      <c r="B2648" t="s">
        <v>28</v>
      </c>
      <c r="E2648" s="3">
        <f>HYPERLINK("https://sao.dolgi.msk.ru/account/1404107386/", 1404107386)</f>
        <v>1404107386</v>
      </c>
      <c r="F2648">
        <v>-10516.75</v>
      </c>
    </row>
    <row r="2649" spans="1:6" hidden="1" x14ac:dyDescent="0.25">
      <c r="A2649" t="s">
        <v>644</v>
      </c>
      <c r="B2649" t="s">
        <v>29</v>
      </c>
      <c r="E2649" s="3">
        <f>HYPERLINK("https://sao.dolgi.msk.ru/account/1404107191/", 1404107191)</f>
        <v>1404107191</v>
      </c>
      <c r="F2649">
        <v>-5741.98</v>
      </c>
    </row>
    <row r="2650" spans="1:6" hidden="1" x14ac:dyDescent="0.25">
      <c r="A2650" t="s">
        <v>644</v>
      </c>
      <c r="B2650" t="s">
        <v>30</v>
      </c>
      <c r="E2650" s="3">
        <f>HYPERLINK("https://sao.dolgi.msk.ru/account/1404106527/", 1404106527)</f>
        <v>1404106527</v>
      </c>
      <c r="F2650">
        <v>0</v>
      </c>
    </row>
    <row r="2651" spans="1:6" hidden="1" x14ac:dyDescent="0.25">
      <c r="A2651" t="s">
        <v>644</v>
      </c>
      <c r="B2651" t="s">
        <v>31</v>
      </c>
      <c r="E2651" s="3">
        <f>HYPERLINK("https://sao.dolgi.msk.ru/account/1404106535/", 1404106535)</f>
        <v>1404106535</v>
      </c>
      <c r="F2651">
        <v>-4596.6400000000003</v>
      </c>
    </row>
    <row r="2652" spans="1:6" hidden="1" x14ac:dyDescent="0.25">
      <c r="A2652" t="s">
        <v>644</v>
      </c>
      <c r="B2652" t="s">
        <v>32</v>
      </c>
      <c r="E2652" s="3">
        <f>HYPERLINK("https://sao.dolgi.msk.ru/account/1404106279/", 1404106279)</f>
        <v>1404106279</v>
      </c>
      <c r="F2652">
        <v>-10812.13</v>
      </c>
    </row>
    <row r="2653" spans="1:6" hidden="1" x14ac:dyDescent="0.25">
      <c r="A2653" t="s">
        <v>644</v>
      </c>
      <c r="B2653" t="s">
        <v>33</v>
      </c>
      <c r="E2653" s="3">
        <f>HYPERLINK("https://sao.dolgi.msk.ru/account/1404106092/", 1404106092)</f>
        <v>1404106092</v>
      </c>
      <c r="F2653">
        <v>-5447.12</v>
      </c>
    </row>
    <row r="2654" spans="1:6" hidden="1" x14ac:dyDescent="0.25">
      <c r="A2654" t="s">
        <v>644</v>
      </c>
      <c r="B2654" t="s">
        <v>34</v>
      </c>
      <c r="E2654" s="3">
        <f>HYPERLINK("https://sao.dolgi.msk.ru/account/1404106922/", 1404106922)</f>
        <v>1404106922</v>
      </c>
      <c r="F2654">
        <v>-8147.49</v>
      </c>
    </row>
    <row r="2655" spans="1:6" hidden="1" x14ac:dyDescent="0.25">
      <c r="A2655" t="s">
        <v>644</v>
      </c>
      <c r="B2655" t="s">
        <v>35</v>
      </c>
      <c r="E2655" s="3">
        <f>HYPERLINK("https://sao.dolgi.msk.ru/account/1404106949/", 1404106949)</f>
        <v>1404106949</v>
      </c>
      <c r="F2655">
        <v>-6304.39</v>
      </c>
    </row>
    <row r="2656" spans="1:6" hidden="1" x14ac:dyDescent="0.25">
      <c r="A2656" t="s">
        <v>644</v>
      </c>
      <c r="B2656" t="s">
        <v>36</v>
      </c>
      <c r="E2656" s="3">
        <f>HYPERLINK("https://sao.dolgi.msk.ru/account/1404106105/", 1404106105)</f>
        <v>1404106105</v>
      </c>
      <c r="F2656">
        <v>-8443.2900000000009</v>
      </c>
    </row>
    <row r="2657" spans="1:6" hidden="1" x14ac:dyDescent="0.25">
      <c r="A2657" t="s">
        <v>644</v>
      </c>
      <c r="B2657" t="s">
        <v>37</v>
      </c>
      <c r="E2657" s="3">
        <f>HYPERLINK("https://sao.dolgi.msk.ru/account/1404106287/", 1404106287)</f>
        <v>1404106287</v>
      </c>
      <c r="F2657">
        <v>-7533.6</v>
      </c>
    </row>
    <row r="2658" spans="1:6" hidden="1" x14ac:dyDescent="0.25">
      <c r="A2658" t="s">
        <v>644</v>
      </c>
      <c r="B2658" t="s">
        <v>38</v>
      </c>
      <c r="E2658" s="3">
        <f>HYPERLINK("https://sao.dolgi.msk.ru/account/1404106295/", 1404106295)</f>
        <v>1404106295</v>
      </c>
      <c r="F2658">
        <v>-4340.29</v>
      </c>
    </row>
    <row r="2659" spans="1:6" hidden="1" x14ac:dyDescent="0.25">
      <c r="A2659" t="s">
        <v>644</v>
      </c>
      <c r="B2659" t="s">
        <v>39</v>
      </c>
      <c r="E2659" s="3">
        <f>HYPERLINK("https://sao.dolgi.msk.ru/account/1404106957/", 1404106957)</f>
        <v>1404106957</v>
      </c>
      <c r="F2659">
        <v>-3381.5</v>
      </c>
    </row>
    <row r="2660" spans="1:6" hidden="1" x14ac:dyDescent="0.25">
      <c r="A2660" t="s">
        <v>644</v>
      </c>
      <c r="B2660" t="s">
        <v>40</v>
      </c>
      <c r="E2660" s="3">
        <f>HYPERLINK("https://sao.dolgi.msk.ru/account/1404106754/", 1404106754)</f>
        <v>1404106754</v>
      </c>
      <c r="F2660">
        <v>-14080.05</v>
      </c>
    </row>
    <row r="2661" spans="1:6" hidden="1" x14ac:dyDescent="0.25">
      <c r="A2661" t="s">
        <v>644</v>
      </c>
      <c r="B2661" t="s">
        <v>41</v>
      </c>
      <c r="E2661" s="3">
        <f>HYPERLINK("https://sao.dolgi.msk.ru/account/1404107423/", 1404107423)</f>
        <v>1404107423</v>
      </c>
      <c r="F2661">
        <v>-6751.23</v>
      </c>
    </row>
    <row r="2662" spans="1:6" hidden="1" x14ac:dyDescent="0.25">
      <c r="A2662" t="s">
        <v>644</v>
      </c>
      <c r="B2662" t="s">
        <v>42</v>
      </c>
      <c r="E2662" s="3">
        <f>HYPERLINK("https://sao.dolgi.msk.ru/account/1404107626/", 1404107626)</f>
        <v>1404107626</v>
      </c>
      <c r="F2662">
        <v>-6628.58</v>
      </c>
    </row>
    <row r="2663" spans="1:6" hidden="1" x14ac:dyDescent="0.25">
      <c r="A2663" t="s">
        <v>644</v>
      </c>
      <c r="B2663" t="s">
        <v>43</v>
      </c>
      <c r="E2663" s="3">
        <f>HYPERLINK("https://sao.dolgi.msk.ru/account/1404107431/", 1404107431)</f>
        <v>1404107431</v>
      </c>
      <c r="F2663">
        <v>0</v>
      </c>
    </row>
    <row r="2664" spans="1:6" hidden="1" x14ac:dyDescent="0.25">
      <c r="A2664" t="s">
        <v>644</v>
      </c>
      <c r="B2664" t="s">
        <v>44</v>
      </c>
      <c r="E2664" s="3">
        <f>HYPERLINK("https://sao.dolgi.msk.ru/account/1404106551/", 1404106551)</f>
        <v>1404106551</v>
      </c>
      <c r="F2664">
        <v>-7092.48</v>
      </c>
    </row>
    <row r="2665" spans="1:6" hidden="1" x14ac:dyDescent="0.25">
      <c r="A2665" t="s">
        <v>644</v>
      </c>
      <c r="B2665" t="s">
        <v>45</v>
      </c>
      <c r="E2665" s="3">
        <f>HYPERLINK("https://sao.dolgi.msk.ru/account/1404107458/", 1404107458)</f>
        <v>1404107458</v>
      </c>
      <c r="F2665">
        <v>-2776.04</v>
      </c>
    </row>
    <row r="2666" spans="1:6" hidden="1" x14ac:dyDescent="0.25">
      <c r="A2666" t="s">
        <v>644</v>
      </c>
      <c r="B2666" t="s">
        <v>46</v>
      </c>
      <c r="E2666" s="3">
        <f>HYPERLINK("https://sao.dolgi.msk.ru/account/1404106113/", 1404106113)</f>
        <v>1404106113</v>
      </c>
      <c r="F2666">
        <v>-11094.59</v>
      </c>
    </row>
    <row r="2667" spans="1:6" hidden="1" x14ac:dyDescent="0.25">
      <c r="A2667" t="s">
        <v>644</v>
      </c>
      <c r="B2667" t="s">
        <v>47</v>
      </c>
      <c r="E2667" s="3">
        <f>HYPERLINK("https://sao.dolgi.msk.ru/account/1404106981/", 1404106981)</f>
        <v>1404106981</v>
      </c>
      <c r="F2667">
        <v>-9452.69</v>
      </c>
    </row>
    <row r="2668" spans="1:6" hidden="1" x14ac:dyDescent="0.25">
      <c r="A2668" t="s">
        <v>644</v>
      </c>
      <c r="B2668" t="s">
        <v>48</v>
      </c>
      <c r="E2668" s="3">
        <f>HYPERLINK("https://sao.dolgi.msk.ru/account/1404107482/", 1404107482)</f>
        <v>1404107482</v>
      </c>
      <c r="F2668">
        <v>-371.39</v>
      </c>
    </row>
    <row r="2669" spans="1:6" hidden="1" x14ac:dyDescent="0.25">
      <c r="A2669" t="s">
        <v>644</v>
      </c>
      <c r="B2669" t="s">
        <v>49</v>
      </c>
      <c r="E2669" s="3">
        <f>HYPERLINK("https://sao.dolgi.msk.ru/account/1404107642/", 1404107642)</f>
        <v>1404107642</v>
      </c>
      <c r="F2669">
        <v>-5357.04</v>
      </c>
    </row>
    <row r="2670" spans="1:6" hidden="1" x14ac:dyDescent="0.25">
      <c r="A2670" t="s">
        <v>644</v>
      </c>
      <c r="B2670" t="s">
        <v>50</v>
      </c>
      <c r="E2670" s="3">
        <f>HYPERLINK("https://sao.dolgi.msk.ru/account/1404107589/", 1404107589)</f>
        <v>1404107589</v>
      </c>
      <c r="F2670">
        <v>-4162.6099999999997</v>
      </c>
    </row>
    <row r="2671" spans="1:6" hidden="1" x14ac:dyDescent="0.25">
      <c r="A2671" t="s">
        <v>644</v>
      </c>
      <c r="B2671" t="s">
        <v>51</v>
      </c>
      <c r="E2671" s="3">
        <f>HYPERLINK("https://sao.dolgi.msk.ru/account/1404106156/", 1404106156)</f>
        <v>1404106156</v>
      </c>
      <c r="F2671">
        <v>0</v>
      </c>
    </row>
    <row r="2672" spans="1:6" x14ac:dyDescent="0.25">
      <c r="A2672" t="s">
        <v>644</v>
      </c>
      <c r="B2672" t="s">
        <v>52</v>
      </c>
      <c r="C2672" s="5" t="str">
        <f>" кв. "&amp;B2672</f>
        <v xml:space="preserve"> кв. 48</v>
      </c>
      <c r="D2672" s="5" t="str">
        <f>CONCATENATE(A2672,C2672)</f>
        <v>Беломорская ул., дом 18А кв. 48</v>
      </c>
      <c r="E2672" s="3">
        <f>HYPERLINK("https://sao.dolgi.msk.ru/account/1404107669/", 1404107669)</f>
        <v>1404107669</v>
      </c>
      <c r="F2672">
        <v>11115.09</v>
      </c>
    </row>
    <row r="2673" spans="1:6" hidden="1" x14ac:dyDescent="0.25">
      <c r="A2673" t="s">
        <v>644</v>
      </c>
      <c r="B2673" t="s">
        <v>53</v>
      </c>
      <c r="E2673" s="3">
        <f>HYPERLINK("https://sao.dolgi.msk.ru/account/1404106789/", 1404106789)</f>
        <v>1404106789</v>
      </c>
      <c r="F2673">
        <v>-6663.57</v>
      </c>
    </row>
    <row r="2674" spans="1:6" hidden="1" x14ac:dyDescent="0.25">
      <c r="A2674" t="s">
        <v>644</v>
      </c>
      <c r="B2674" t="s">
        <v>54</v>
      </c>
      <c r="E2674" s="3">
        <f>HYPERLINK("https://sao.dolgi.msk.ru/account/1404106594/", 1404106594)</f>
        <v>1404106594</v>
      </c>
      <c r="F2674">
        <v>-424.47</v>
      </c>
    </row>
    <row r="2675" spans="1:6" hidden="1" x14ac:dyDescent="0.25">
      <c r="A2675" t="s">
        <v>644</v>
      </c>
      <c r="B2675" t="s">
        <v>55</v>
      </c>
      <c r="E2675" s="3">
        <f>HYPERLINK("https://sao.dolgi.msk.ru/account/1404106607/", 1404106607)</f>
        <v>1404106607</v>
      </c>
      <c r="F2675">
        <v>-1090.44</v>
      </c>
    </row>
    <row r="2676" spans="1:6" hidden="1" x14ac:dyDescent="0.25">
      <c r="A2676" t="s">
        <v>644</v>
      </c>
      <c r="B2676" t="s">
        <v>56</v>
      </c>
      <c r="E2676" s="3">
        <f>HYPERLINK("https://sao.dolgi.msk.ru/account/1404107028/", 1404107028)</f>
        <v>1404107028</v>
      </c>
      <c r="F2676">
        <v>-3245.06</v>
      </c>
    </row>
    <row r="2677" spans="1:6" hidden="1" x14ac:dyDescent="0.25">
      <c r="A2677" t="s">
        <v>644</v>
      </c>
      <c r="B2677" t="s">
        <v>57</v>
      </c>
      <c r="E2677" s="3">
        <f>HYPERLINK("https://sao.dolgi.msk.ru/account/1404107503/", 1404107503)</f>
        <v>1404107503</v>
      </c>
      <c r="F2677">
        <v>-3957.83</v>
      </c>
    </row>
    <row r="2678" spans="1:6" hidden="1" x14ac:dyDescent="0.25">
      <c r="A2678" t="s">
        <v>644</v>
      </c>
      <c r="B2678" t="s">
        <v>58</v>
      </c>
      <c r="E2678" s="3">
        <f>HYPERLINK("https://sao.dolgi.msk.ru/account/1404106359/", 1404106359)</f>
        <v>1404106359</v>
      </c>
      <c r="F2678">
        <v>-9682.84</v>
      </c>
    </row>
    <row r="2679" spans="1:6" hidden="1" x14ac:dyDescent="0.25">
      <c r="A2679" t="s">
        <v>644</v>
      </c>
      <c r="B2679" t="s">
        <v>59</v>
      </c>
      <c r="E2679" s="3">
        <f>HYPERLINK("https://sao.dolgi.msk.ru/account/1404106615/", 1404106615)</f>
        <v>1404106615</v>
      </c>
      <c r="F2679">
        <v>-8821.0400000000009</v>
      </c>
    </row>
    <row r="2680" spans="1:6" hidden="1" x14ac:dyDescent="0.25">
      <c r="A2680" t="s">
        <v>644</v>
      </c>
      <c r="B2680" t="s">
        <v>60</v>
      </c>
      <c r="E2680" s="3">
        <f>HYPERLINK("https://sao.dolgi.msk.ru/account/1404107255/", 1404107255)</f>
        <v>1404107255</v>
      </c>
      <c r="F2680">
        <v>-5965.46</v>
      </c>
    </row>
    <row r="2681" spans="1:6" hidden="1" x14ac:dyDescent="0.25">
      <c r="A2681" t="s">
        <v>644</v>
      </c>
      <c r="B2681" t="s">
        <v>61</v>
      </c>
      <c r="E2681" s="3">
        <f>HYPERLINK("https://sao.dolgi.msk.ru/account/1404107036/", 1404107036)</f>
        <v>1404107036</v>
      </c>
      <c r="F2681">
        <v>0</v>
      </c>
    </row>
    <row r="2682" spans="1:6" hidden="1" x14ac:dyDescent="0.25">
      <c r="A2682" t="s">
        <v>644</v>
      </c>
      <c r="B2682" t="s">
        <v>62</v>
      </c>
      <c r="E2682" s="3">
        <f>HYPERLINK("https://sao.dolgi.msk.ru/account/1404107511/", 1404107511)</f>
        <v>1404107511</v>
      </c>
      <c r="F2682">
        <v>-4784.75</v>
      </c>
    </row>
    <row r="2683" spans="1:6" hidden="1" x14ac:dyDescent="0.25">
      <c r="A2683" t="s">
        <v>644</v>
      </c>
      <c r="B2683" t="s">
        <v>63</v>
      </c>
      <c r="E2683" s="3">
        <f>HYPERLINK("https://sao.dolgi.msk.ru/account/1404107044/", 1404107044)</f>
        <v>1404107044</v>
      </c>
      <c r="F2683">
        <v>-3059.76</v>
      </c>
    </row>
    <row r="2684" spans="1:6" x14ac:dyDescent="0.25">
      <c r="A2684" t="s">
        <v>644</v>
      </c>
      <c r="B2684" t="s">
        <v>64</v>
      </c>
      <c r="C2684" s="5" t="str">
        <f>" кв. "&amp;B2684</f>
        <v xml:space="preserve"> кв. 60</v>
      </c>
      <c r="D2684" s="5" t="str">
        <f>CONCATENATE(A2684,C2684)</f>
        <v>Беломорская ул., дом 18А кв. 60</v>
      </c>
      <c r="E2684" s="3">
        <f>HYPERLINK("https://sao.dolgi.msk.ru/account/1404106818/", 1404106818)</f>
        <v>1404106818</v>
      </c>
      <c r="F2684">
        <v>6376.4</v>
      </c>
    </row>
    <row r="2685" spans="1:6" hidden="1" x14ac:dyDescent="0.25">
      <c r="A2685" t="s">
        <v>644</v>
      </c>
      <c r="B2685" t="s">
        <v>65</v>
      </c>
      <c r="E2685" s="3">
        <f>HYPERLINK("https://sao.dolgi.msk.ru/account/1404106199/", 1404106199)</f>
        <v>1404106199</v>
      </c>
      <c r="F2685">
        <v>-6751.23</v>
      </c>
    </row>
    <row r="2686" spans="1:6" hidden="1" x14ac:dyDescent="0.25">
      <c r="A2686" t="s">
        <v>644</v>
      </c>
      <c r="B2686" t="s">
        <v>66</v>
      </c>
      <c r="E2686" s="3">
        <f>HYPERLINK("https://sao.dolgi.msk.ru/account/1404106201/", 1404106201)</f>
        <v>1404106201</v>
      </c>
      <c r="F2686">
        <v>0</v>
      </c>
    </row>
    <row r="2687" spans="1:6" hidden="1" x14ac:dyDescent="0.25">
      <c r="A2687" t="s">
        <v>644</v>
      </c>
      <c r="B2687" t="s">
        <v>67</v>
      </c>
      <c r="E2687" s="3">
        <f>HYPERLINK("https://sao.dolgi.msk.ru/account/1404106826/", 1404106826)</f>
        <v>1404106826</v>
      </c>
      <c r="F2687">
        <v>-7382.37</v>
      </c>
    </row>
    <row r="2688" spans="1:6" hidden="1" x14ac:dyDescent="0.25">
      <c r="A2688" t="s">
        <v>644</v>
      </c>
      <c r="B2688" t="s">
        <v>68</v>
      </c>
      <c r="E2688" s="3">
        <f>HYPERLINK("https://sao.dolgi.msk.ru/account/1404106375/", 1404106375)</f>
        <v>1404106375</v>
      </c>
      <c r="F2688">
        <v>-4659.66</v>
      </c>
    </row>
    <row r="2689" spans="1:6" hidden="1" x14ac:dyDescent="0.25">
      <c r="A2689" t="s">
        <v>644</v>
      </c>
      <c r="B2689" t="s">
        <v>69</v>
      </c>
      <c r="E2689" s="3">
        <f>HYPERLINK("https://sao.dolgi.msk.ru/account/1404107677/", 1404107677)</f>
        <v>1404107677</v>
      </c>
      <c r="F2689">
        <v>-667.95</v>
      </c>
    </row>
    <row r="2690" spans="1:6" x14ac:dyDescent="0.25">
      <c r="A2690" t="s">
        <v>644</v>
      </c>
      <c r="B2690" t="s">
        <v>70</v>
      </c>
      <c r="C2690" s="5" t="str">
        <f>" кв. "&amp;B2690</f>
        <v xml:space="preserve"> кв. 66</v>
      </c>
      <c r="D2690" s="5" t="str">
        <f>CONCATENATE(A2690,C2690)</f>
        <v>Беломорская ул., дом 18А кв. 66</v>
      </c>
      <c r="E2690" s="3">
        <f>HYPERLINK("https://sao.dolgi.msk.ru/account/1404107079/", 1404107079)</f>
        <v>1404107079</v>
      </c>
      <c r="F2690">
        <v>16573.98</v>
      </c>
    </row>
    <row r="2691" spans="1:6" hidden="1" x14ac:dyDescent="0.25">
      <c r="A2691" t="s">
        <v>644</v>
      </c>
      <c r="B2691" t="s">
        <v>71</v>
      </c>
      <c r="E2691" s="3">
        <f>HYPERLINK("https://sao.dolgi.msk.ru/account/1404107538/", 1404107538)</f>
        <v>1404107538</v>
      </c>
      <c r="F2691">
        <v>0</v>
      </c>
    </row>
    <row r="2692" spans="1:6" hidden="1" x14ac:dyDescent="0.25">
      <c r="A2692" t="s">
        <v>644</v>
      </c>
      <c r="B2692" t="s">
        <v>72</v>
      </c>
      <c r="E2692" s="3">
        <f>HYPERLINK("https://sao.dolgi.msk.ru/account/1404106842/", 1404106842)</f>
        <v>1404106842</v>
      </c>
      <c r="F2692">
        <v>-5324.8</v>
      </c>
    </row>
    <row r="2693" spans="1:6" hidden="1" x14ac:dyDescent="0.25">
      <c r="A2693" t="s">
        <v>644</v>
      </c>
      <c r="B2693" t="s">
        <v>73</v>
      </c>
      <c r="E2693" s="3">
        <f>HYPERLINK("https://sao.dolgi.msk.ru/account/1404107685/", 1404107685)</f>
        <v>1404107685</v>
      </c>
      <c r="F2693">
        <v>0</v>
      </c>
    </row>
    <row r="2694" spans="1:6" hidden="1" x14ac:dyDescent="0.25">
      <c r="A2694" t="s">
        <v>644</v>
      </c>
      <c r="B2694" t="s">
        <v>74</v>
      </c>
      <c r="E2694" s="3">
        <f>HYPERLINK("https://sao.dolgi.msk.ru/account/1404107087/", 1404107087)</f>
        <v>1404107087</v>
      </c>
      <c r="F2694">
        <v>-4306.1499999999996</v>
      </c>
    </row>
    <row r="2695" spans="1:6" hidden="1" x14ac:dyDescent="0.25">
      <c r="A2695" t="s">
        <v>644</v>
      </c>
      <c r="B2695" t="s">
        <v>75</v>
      </c>
      <c r="E2695" s="3">
        <f>HYPERLINK("https://sao.dolgi.msk.ru/account/1404106674/", 1404106674)</f>
        <v>1404106674</v>
      </c>
      <c r="F2695">
        <v>-3930.5</v>
      </c>
    </row>
    <row r="2696" spans="1:6" hidden="1" x14ac:dyDescent="0.25">
      <c r="A2696" t="s">
        <v>644</v>
      </c>
      <c r="B2696" t="s">
        <v>76</v>
      </c>
      <c r="E2696" s="3">
        <f>HYPERLINK("https://sao.dolgi.msk.ru/account/1404107546/", 1404107546)</f>
        <v>1404107546</v>
      </c>
      <c r="F2696">
        <v>-11857.59</v>
      </c>
    </row>
    <row r="2697" spans="1:6" hidden="1" x14ac:dyDescent="0.25">
      <c r="A2697" t="s">
        <v>644</v>
      </c>
      <c r="B2697" t="s">
        <v>77</v>
      </c>
      <c r="E2697" s="3">
        <f>HYPERLINK("https://sao.dolgi.msk.ru/account/1404107693/", 1404107693)</f>
        <v>1404107693</v>
      </c>
      <c r="F2697">
        <v>-8803.18</v>
      </c>
    </row>
    <row r="2698" spans="1:6" hidden="1" x14ac:dyDescent="0.25">
      <c r="A2698" t="s">
        <v>644</v>
      </c>
      <c r="B2698" t="s">
        <v>78</v>
      </c>
      <c r="E2698" s="3">
        <f>HYPERLINK("https://sao.dolgi.msk.ru/account/1404107263/", 1404107263)</f>
        <v>1404107263</v>
      </c>
      <c r="F2698">
        <v>-4333.7299999999996</v>
      </c>
    </row>
    <row r="2699" spans="1:6" hidden="1" x14ac:dyDescent="0.25">
      <c r="A2699" t="s">
        <v>644</v>
      </c>
      <c r="B2699" t="s">
        <v>79</v>
      </c>
      <c r="E2699" s="3">
        <f>HYPERLINK("https://sao.dolgi.msk.ru/account/1404106391/", 1404106391)</f>
        <v>1404106391</v>
      </c>
      <c r="F2699">
        <v>-4998.2</v>
      </c>
    </row>
    <row r="2700" spans="1:6" hidden="1" x14ac:dyDescent="0.25">
      <c r="A2700" t="s">
        <v>644</v>
      </c>
      <c r="B2700" t="s">
        <v>80</v>
      </c>
      <c r="E2700" s="3">
        <f>HYPERLINK("https://sao.dolgi.msk.ru/account/1404107554/", 1404107554)</f>
        <v>1404107554</v>
      </c>
      <c r="F2700">
        <v>-10200.34</v>
      </c>
    </row>
    <row r="2701" spans="1:6" hidden="1" x14ac:dyDescent="0.25">
      <c r="A2701" t="s">
        <v>644</v>
      </c>
      <c r="B2701" t="s">
        <v>81</v>
      </c>
      <c r="E2701" s="3">
        <f>HYPERLINK("https://sao.dolgi.msk.ru/account/1404106412/", 1404106412)</f>
        <v>1404106412</v>
      </c>
      <c r="F2701">
        <v>-2973.37</v>
      </c>
    </row>
    <row r="2702" spans="1:6" x14ac:dyDescent="0.25">
      <c r="A2702" t="s">
        <v>644</v>
      </c>
      <c r="B2702" t="s">
        <v>82</v>
      </c>
      <c r="C2702" s="5" t="str">
        <f>" кв. "&amp;B2702</f>
        <v xml:space="preserve"> кв. 78</v>
      </c>
      <c r="D2702" s="5" t="str">
        <f>CONCATENATE(A2702,C2702)</f>
        <v>Беломорская ул., дом 18А кв. 78</v>
      </c>
      <c r="E2702" s="3">
        <f>HYPERLINK("https://sao.dolgi.msk.ru/account/1404107271/", 1404107271)</f>
        <v>1404107271</v>
      </c>
      <c r="F2702">
        <v>8594.6200000000008</v>
      </c>
    </row>
    <row r="2703" spans="1:6" hidden="1" x14ac:dyDescent="0.25">
      <c r="A2703" t="s">
        <v>644</v>
      </c>
      <c r="B2703" t="s">
        <v>83</v>
      </c>
      <c r="E2703" s="3">
        <f>HYPERLINK("https://sao.dolgi.msk.ru/account/1404106877/", 1404106877)</f>
        <v>1404106877</v>
      </c>
      <c r="F2703">
        <v>-9358.4599999999991</v>
      </c>
    </row>
    <row r="2704" spans="1:6" x14ac:dyDescent="0.25">
      <c r="A2704" t="s">
        <v>644</v>
      </c>
      <c r="B2704" t="s">
        <v>84</v>
      </c>
      <c r="C2704" s="5" t="str">
        <f>" кв. "&amp;B2704</f>
        <v xml:space="preserve"> кв. 80</v>
      </c>
      <c r="D2704" s="5" t="str">
        <f>CONCATENATE(A2704,C2704)</f>
        <v>Беломорская ул., дом 18А кв. 80</v>
      </c>
      <c r="E2704" s="3">
        <f>HYPERLINK("https://sao.dolgi.msk.ru/account/1404106666/", 1404106666)</f>
        <v>1404106666</v>
      </c>
      <c r="F2704">
        <v>10351.27</v>
      </c>
    </row>
    <row r="2705" spans="1:6" hidden="1" x14ac:dyDescent="0.25">
      <c r="A2705" t="s">
        <v>644</v>
      </c>
      <c r="B2705" t="s">
        <v>85</v>
      </c>
      <c r="E2705" s="3">
        <f>HYPERLINK("https://sao.dolgi.msk.ru/account/1404106834/", 1404106834)</f>
        <v>1404106834</v>
      </c>
      <c r="F2705">
        <v>-9134.2900000000009</v>
      </c>
    </row>
    <row r="2706" spans="1:6" x14ac:dyDescent="0.25">
      <c r="A2706" t="s">
        <v>644</v>
      </c>
      <c r="B2706" t="s">
        <v>86</v>
      </c>
      <c r="C2706" s="5" t="str">
        <f t="shared" ref="C2706:C2707" si="117">" кв. "&amp;B2706</f>
        <v xml:space="preserve"> кв. 82</v>
      </c>
      <c r="D2706" s="5" t="str">
        <f>CONCATENATE(A2706,C2706)</f>
        <v>Беломорская ул., дом 18А кв. 82</v>
      </c>
      <c r="E2706" s="3">
        <f>HYPERLINK("https://sao.dolgi.msk.ru/account/1404106228/", 1404106228)</f>
        <v>1404106228</v>
      </c>
      <c r="F2706">
        <v>6245.82</v>
      </c>
    </row>
    <row r="2707" spans="1:6" x14ac:dyDescent="0.25">
      <c r="A2707" t="s">
        <v>644</v>
      </c>
      <c r="B2707" t="s">
        <v>87</v>
      </c>
      <c r="C2707" s="5" t="str">
        <f t="shared" si="117"/>
        <v xml:space="preserve"> кв. 83</v>
      </c>
      <c r="D2707" s="5" t="str">
        <f>CONCATENATE(A2707,C2707)</f>
        <v>Беломорская ул., дом 18А кв. 83</v>
      </c>
      <c r="E2707" s="3">
        <f>HYPERLINK("https://sao.dolgi.msk.ru/account/1404106383/", 1404106383)</f>
        <v>1404106383</v>
      </c>
      <c r="F2707">
        <v>11105.8</v>
      </c>
    </row>
    <row r="2708" spans="1:6" hidden="1" x14ac:dyDescent="0.25">
      <c r="A2708" t="s">
        <v>644</v>
      </c>
      <c r="B2708" t="s">
        <v>88</v>
      </c>
      <c r="E2708" s="3">
        <f>HYPERLINK("https://sao.dolgi.msk.ru/account/1404106869/", 1404106869)</f>
        <v>1404106869</v>
      </c>
      <c r="F2708">
        <v>-743.12</v>
      </c>
    </row>
    <row r="2709" spans="1:6" hidden="1" x14ac:dyDescent="0.25">
      <c r="A2709" t="s">
        <v>644</v>
      </c>
      <c r="B2709" t="s">
        <v>89</v>
      </c>
      <c r="E2709" s="3">
        <f>HYPERLINK("https://sao.dolgi.msk.ru/account/1404107095/", 1404107095)</f>
        <v>1404107095</v>
      </c>
      <c r="F2709">
        <v>-12326.07</v>
      </c>
    </row>
    <row r="2710" spans="1:6" x14ac:dyDescent="0.25">
      <c r="A2710" t="s">
        <v>644</v>
      </c>
      <c r="B2710" t="s">
        <v>90</v>
      </c>
      <c r="C2710" s="5" t="str">
        <f>" кв. "&amp;B2710</f>
        <v xml:space="preserve"> кв. 86</v>
      </c>
      <c r="D2710" s="5" t="str">
        <f>CONCATENATE(A2710,C2710)</f>
        <v>Беломорская ул., дом 18А кв. 86</v>
      </c>
      <c r="E2710" s="3">
        <f>HYPERLINK("https://sao.dolgi.msk.ru/account/1404106404/", 1404106404)</f>
        <v>1404106404</v>
      </c>
      <c r="F2710">
        <v>7619.08</v>
      </c>
    </row>
    <row r="2711" spans="1:6" hidden="1" x14ac:dyDescent="0.25">
      <c r="A2711" t="s">
        <v>644</v>
      </c>
      <c r="B2711" t="s">
        <v>91</v>
      </c>
      <c r="E2711" s="3">
        <f>HYPERLINK("https://sao.dolgi.msk.ru/account/1404107108/", 1404107108)</f>
        <v>1404107108</v>
      </c>
      <c r="F2711">
        <v>-4331.63</v>
      </c>
    </row>
    <row r="2712" spans="1:6" hidden="1" x14ac:dyDescent="0.25">
      <c r="A2712" t="s">
        <v>644</v>
      </c>
      <c r="B2712" t="s">
        <v>92</v>
      </c>
      <c r="E2712" s="3">
        <f>HYPERLINK("https://sao.dolgi.msk.ru/account/1404106439/", 1404106439)</f>
        <v>1404106439</v>
      </c>
      <c r="F2712">
        <v>-5313.23</v>
      </c>
    </row>
    <row r="2713" spans="1:6" hidden="1" x14ac:dyDescent="0.25">
      <c r="A2713" t="s">
        <v>644</v>
      </c>
      <c r="B2713" t="s">
        <v>93</v>
      </c>
      <c r="E2713" s="3">
        <f>HYPERLINK("https://sao.dolgi.msk.ru/account/1404106682/", 1404106682)</f>
        <v>1404106682</v>
      </c>
      <c r="F2713">
        <v>-272.60000000000002</v>
      </c>
    </row>
    <row r="2714" spans="1:6" hidden="1" x14ac:dyDescent="0.25">
      <c r="A2714" t="s">
        <v>644</v>
      </c>
      <c r="B2714" t="s">
        <v>94</v>
      </c>
      <c r="E2714" s="3">
        <f>HYPERLINK("https://sao.dolgi.msk.ru/account/1404107298/", 1404107298)</f>
        <v>1404107298</v>
      </c>
      <c r="F2714">
        <v>-8054.38</v>
      </c>
    </row>
    <row r="2715" spans="1:6" hidden="1" x14ac:dyDescent="0.25">
      <c r="A2715" t="s">
        <v>644</v>
      </c>
      <c r="B2715" t="s">
        <v>95</v>
      </c>
      <c r="E2715" s="3">
        <f>HYPERLINK("https://sao.dolgi.msk.ru/account/1404106703/", 1404106703)</f>
        <v>1404106703</v>
      </c>
      <c r="F2715">
        <v>0</v>
      </c>
    </row>
    <row r="2716" spans="1:6" hidden="1" x14ac:dyDescent="0.25">
      <c r="A2716" t="s">
        <v>644</v>
      </c>
      <c r="B2716" t="s">
        <v>96</v>
      </c>
      <c r="E2716" s="3">
        <f>HYPERLINK("https://sao.dolgi.msk.ru/account/1404107132/", 1404107132)</f>
        <v>1404107132</v>
      </c>
      <c r="F2716">
        <v>0</v>
      </c>
    </row>
    <row r="2717" spans="1:6" hidden="1" x14ac:dyDescent="0.25">
      <c r="A2717" t="s">
        <v>644</v>
      </c>
      <c r="B2717" t="s">
        <v>96</v>
      </c>
      <c r="E2717" s="3">
        <f>HYPERLINK("https://sao.dolgi.msk.ru/account/1404107319/", 1404107319)</f>
        <v>1404107319</v>
      </c>
      <c r="F2717">
        <v>-3700.13</v>
      </c>
    </row>
    <row r="2718" spans="1:6" hidden="1" x14ac:dyDescent="0.25">
      <c r="A2718" t="s">
        <v>644</v>
      </c>
      <c r="B2718" t="s">
        <v>97</v>
      </c>
      <c r="E2718" s="3">
        <f>HYPERLINK("https://sao.dolgi.msk.ru/account/1404107562/", 1404107562)</f>
        <v>1404107562</v>
      </c>
      <c r="F2718">
        <v>0</v>
      </c>
    </row>
    <row r="2719" spans="1:6" hidden="1" x14ac:dyDescent="0.25">
      <c r="A2719" t="s">
        <v>644</v>
      </c>
      <c r="B2719" t="s">
        <v>98</v>
      </c>
      <c r="E2719" s="3">
        <f>HYPERLINK("https://sao.dolgi.msk.ru/account/1404107116/", 1404107116)</f>
        <v>1404107116</v>
      </c>
      <c r="F2719">
        <v>-5215.26</v>
      </c>
    </row>
    <row r="2720" spans="1:6" hidden="1" x14ac:dyDescent="0.25">
      <c r="A2720" t="s">
        <v>644</v>
      </c>
      <c r="B2720" t="s">
        <v>99</v>
      </c>
      <c r="E2720" s="3">
        <f>HYPERLINK("https://sao.dolgi.msk.ru/account/1404107124/", 1404107124)</f>
        <v>1404107124</v>
      </c>
      <c r="F2720">
        <v>-4031.83</v>
      </c>
    </row>
    <row r="2721" spans="1:6" hidden="1" x14ac:dyDescent="0.25">
      <c r="A2721" t="s">
        <v>644</v>
      </c>
      <c r="B2721" t="s">
        <v>100</v>
      </c>
      <c r="E2721" s="3">
        <f>HYPERLINK("https://sao.dolgi.msk.ru/account/1404106236/", 1404106236)</f>
        <v>1404106236</v>
      </c>
      <c r="F2721">
        <v>-9997.14</v>
      </c>
    </row>
    <row r="2722" spans="1:6" hidden="1" x14ac:dyDescent="0.25">
      <c r="A2722" t="s">
        <v>644</v>
      </c>
      <c r="B2722" t="s">
        <v>101</v>
      </c>
      <c r="E2722" s="3">
        <f>HYPERLINK("https://sao.dolgi.msk.ru/account/1404106711/", 1404106711)</f>
        <v>1404106711</v>
      </c>
      <c r="F2722">
        <v>-8111.56</v>
      </c>
    </row>
    <row r="2723" spans="1:6" hidden="1" x14ac:dyDescent="0.25">
      <c r="A2723" t="s">
        <v>644</v>
      </c>
      <c r="B2723" t="s">
        <v>102</v>
      </c>
      <c r="E2723" s="3">
        <f>HYPERLINK("https://sao.dolgi.msk.ru/account/1404106164/", 1404106164)</f>
        <v>1404106164</v>
      </c>
      <c r="F2723">
        <v>-1485.49</v>
      </c>
    </row>
    <row r="2724" spans="1:6" x14ac:dyDescent="0.25">
      <c r="A2724" t="s">
        <v>644</v>
      </c>
      <c r="B2724" t="s">
        <v>103</v>
      </c>
      <c r="C2724" s="5" t="str">
        <f>" кв. "&amp;B2724</f>
        <v xml:space="preserve"> кв. 99</v>
      </c>
      <c r="D2724" s="5" t="str">
        <f>CONCATENATE(A2724,C2724)</f>
        <v>Беломорская ул., дом 18А кв. 99</v>
      </c>
      <c r="E2724" s="3">
        <f>HYPERLINK("https://sao.dolgi.msk.ru/account/1404106797/", 1404106797)</f>
        <v>1404106797</v>
      </c>
      <c r="F2724">
        <v>5809.88</v>
      </c>
    </row>
    <row r="2725" spans="1:6" hidden="1" x14ac:dyDescent="0.25">
      <c r="A2725" t="s">
        <v>644</v>
      </c>
      <c r="B2725" t="s">
        <v>104</v>
      </c>
      <c r="E2725" s="3">
        <f>HYPERLINK("https://sao.dolgi.msk.ru/account/1404106623/", 1404106623)</f>
        <v>1404106623</v>
      </c>
      <c r="F2725">
        <v>-4292.47</v>
      </c>
    </row>
    <row r="2726" spans="1:6" hidden="1" x14ac:dyDescent="0.25">
      <c r="A2726" t="s">
        <v>644</v>
      </c>
      <c r="B2726" t="s">
        <v>105</v>
      </c>
      <c r="E2726" s="3">
        <f>HYPERLINK("https://sao.dolgi.msk.ru/account/1404107247/", 1404107247)</f>
        <v>1404107247</v>
      </c>
      <c r="F2726">
        <v>-3741.86</v>
      </c>
    </row>
    <row r="2727" spans="1:6" x14ac:dyDescent="0.25">
      <c r="A2727" t="s">
        <v>644</v>
      </c>
      <c r="B2727" t="s">
        <v>106</v>
      </c>
      <c r="C2727" s="5" t="str">
        <f>" кв. "&amp;B2727</f>
        <v xml:space="preserve"> кв. 102</v>
      </c>
      <c r="D2727" s="5" t="str">
        <f>CONCATENATE(A2727,C2727)</f>
        <v>Беломорская ул., дом 18А кв. 102</v>
      </c>
      <c r="E2727" s="3">
        <f>HYPERLINK("https://sao.dolgi.msk.ru/account/1404106172/", 1404106172)</f>
        <v>1404106172</v>
      </c>
      <c r="F2727">
        <v>86651.31</v>
      </c>
    </row>
    <row r="2728" spans="1:6" hidden="1" x14ac:dyDescent="0.25">
      <c r="A2728" t="s">
        <v>644</v>
      </c>
      <c r="B2728" t="s">
        <v>107</v>
      </c>
      <c r="E2728" s="3">
        <f>HYPERLINK("https://sao.dolgi.msk.ru/account/1404106631/", 1404106631)</f>
        <v>1404106631</v>
      </c>
      <c r="F2728">
        <v>-1162.6199999999999</v>
      </c>
    </row>
    <row r="2729" spans="1:6" hidden="1" x14ac:dyDescent="0.25">
      <c r="A2729" t="s">
        <v>644</v>
      </c>
      <c r="B2729" t="s">
        <v>108</v>
      </c>
      <c r="E2729" s="3">
        <f>HYPERLINK("https://sao.dolgi.msk.ru/account/1404106367/", 1404106367)</f>
        <v>1404106367</v>
      </c>
      <c r="F2729">
        <v>-6518.06</v>
      </c>
    </row>
    <row r="2730" spans="1:6" hidden="1" x14ac:dyDescent="0.25">
      <c r="A2730" t="s">
        <v>644</v>
      </c>
      <c r="B2730" t="s">
        <v>109</v>
      </c>
      <c r="E2730" s="3">
        <f>HYPERLINK("https://sao.dolgi.msk.ru/account/1404107052/", 1404107052)</f>
        <v>1404107052</v>
      </c>
      <c r="F2730">
        <v>-8052.99</v>
      </c>
    </row>
    <row r="2731" spans="1:6" hidden="1" x14ac:dyDescent="0.25">
      <c r="A2731" t="s">
        <v>644</v>
      </c>
      <c r="B2731" t="s">
        <v>110</v>
      </c>
      <c r="E2731" s="3">
        <f>HYPERLINK("https://sao.dolgi.msk.ru/account/1404106658/", 1404106658)</f>
        <v>1404106658</v>
      </c>
      <c r="F2731">
        <v>-4625.3900000000003</v>
      </c>
    </row>
    <row r="2732" spans="1:6" hidden="1" x14ac:dyDescent="0.25">
      <c r="A2732" t="s">
        <v>644</v>
      </c>
      <c r="B2732" t="s">
        <v>111</v>
      </c>
      <c r="E2732" s="3">
        <f>HYPERLINK("https://sao.dolgi.msk.ru/account/1404106076/", 1404106076)</f>
        <v>1404106076</v>
      </c>
      <c r="F2732">
        <v>-3438.23</v>
      </c>
    </row>
    <row r="2733" spans="1:6" hidden="1" x14ac:dyDescent="0.25">
      <c r="A2733" t="s">
        <v>644</v>
      </c>
      <c r="B2733" t="s">
        <v>112</v>
      </c>
      <c r="E2733" s="3">
        <f>HYPERLINK("https://sao.dolgi.msk.ru/account/1404107204/", 1404107204)</f>
        <v>1404107204</v>
      </c>
      <c r="F2733">
        <v>-14347.23</v>
      </c>
    </row>
    <row r="2734" spans="1:6" hidden="1" x14ac:dyDescent="0.25">
      <c r="A2734" t="s">
        <v>644</v>
      </c>
      <c r="B2734" t="s">
        <v>113</v>
      </c>
      <c r="E2734" s="3">
        <f>HYPERLINK("https://sao.dolgi.msk.ru/account/1404106586/", 1404106586)</f>
        <v>1404106586</v>
      </c>
      <c r="F2734">
        <v>-580.67999999999995</v>
      </c>
    </row>
    <row r="2735" spans="1:6" hidden="1" x14ac:dyDescent="0.25">
      <c r="A2735" t="s">
        <v>644</v>
      </c>
      <c r="B2735" t="s">
        <v>114</v>
      </c>
      <c r="E2735" s="3">
        <f>HYPERLINK("https://sao.dolgi.msk.ru/account/1404107394/", 1404107394)</f>
        <v>1404107394</v>
      </c>
      <c r="F2735">
        <v>-6614.91</v>
      </c>
    </row>
    <row r="2736" spans="1:6" hidden="1" x14ac:dyDescent="0.25">
      <c r="A2736" t="s">
        <v>644</v>
      </c>
      <c r="B2736" t="s">
        <v>115</v>
      </c>
      <c r="E2736" s="3">
        <f>HYPERLINK("https://sao.dolgi.msk.ru/account/1404106914/", 1404106914)</f>
        <v>1404106914</v>
      </c>
      <c r="F2736">
        <v>-7631.33</v>
      </c>
    </row>
    <row r="2737" spans="1:6" hidden="1" x14ac:dyDescent="0.25">
      <c r="A2737" t="s">
        <v>644</v>
      </c>
      <c r="B2737" t="s">
        <v>116</v>
      </c>
      <c r="E2737" s="3">
        <f>HYPERLINK("https://sao.dolgi.msk.ru/account/1404106746/", 1404106746)</f>
        <v>1404106746</v>
      </c>
      <c r="F2737">
        <v>-4764.24</v>
      </c>
    </row>
    <row r="2738" spans="1:6" x14ac:dyDescent="0.25">
      <c r="A2738" t="s">
        <v>644</v>
      </c>
      <c r="B2738" t="s">
        <v>117</v>
      </c>
      <c r="C2738" s="5" t="str">
        <f>" кв. "&amp;B2738</f>
        <v xml:space="preserve"> кв. 113</v>
      </c>
      <c r="D2738" s="5" t="str">
        <f>CONCATENATE(A2738,C2738)</f>
        <v>Беломорская ул., дом 18А кв. 113</v>
      </c>
      <c r="E2738" s="3">
        <f>HYPERLINK("https://sao.dolgi.msk.ru/account/1404107212/", 1404107212)</f>
        <v>1404107212</v>
      </c>
      <c r="F2738">
        <v>5758.08</v>
      </c>
    </row>
    <row r="2739" spans="1:6" hidden="1" x14ac:dyDescent="0.25">
      <c r="A2739" t="s">
        <v>644</v>
      </c>
      <c r="B2739" t="s">
        <v>118</v>
      </c>
      <c r="E2739" s="3">
        <f>HYPERLINK("https://sao.dolgi.msk.ru/account/1404107407/", 1404107407)</f>
        <v>1404107407</v>
      </c>
      <c r="F2739">
        <v>0</v>
      </c>
    </row>
    <row r="2740" spans="1:6" x14ac:dyDescent="0.25">
      <c r="A2740" t="s">
        <v>644</v>
      </c>
      <c r="B2740" t="s">
        <v>119</v>
      </c>
      <c r="C2740" s="5" t="str">
        <f>" кв. "&amp;B2740</f>
        <v xml:space="preserve"> кв. 115</v>
      </c>
      <c r="D2740" s="5" t="str">
        <f>CONCATENATE(A2740,C2740)</f>
        <v>Беломорская ул., дом 18А кв. 115</v>
      </c>
      <c r="E2740" s="3">
        <f>HYPERLINK("https://sao.dolgi.msk.ru/account/1404107239/", 1404107239)</f>
        <v>1404107239</v>
      </c>
      <c r="F2740">
        <v>105227.01</v>
      </c>
    </row>
    <row r="2741" spans="1:6" hidden="1" x14ac:dyDescent="0.25">
      <c r="A2741" t="s">
        <v>644</v>
      </c>
      <c r="B2741" t="s">
        <v>120</v>
      </c>
      <c r="E2741" s="3">
        <f>HYPERLINK("https://sao.dolgi.msk.ru/account/1404106543/", 1404106543)</f>
        <v>1404106543</v>
      </c>
      <c r="F2741">
        <v>-6749.74</v>
      </c>
    </row>
    <row r="2742" spans="1:6" hidden="1" x14ac:dyDescent="0.25">
      <c r="A2742" t="s">
        <v>644</v>
      </c>
      <c r="B2742" t="s">
        <v>121</v>
      </c>
      <c r="E2742" s="3">
        <f>HYPERLINK("https://sao.dolgi.msk.ru/account/1404107415/", 1404107415)</f>
        <v>1404107415</v>
      </c>
      <c r="F2742">
        <v>-10095.09</v>
      </c>
    </row>
    <row r="2743" spans="1:6" hidden="1" x14ac:dyDescent="0.25">
      <c r="A2743" t="s">
        <v>644</v>
      </c>
      <c r="B2743" t="s">
        <v>122</v>
      </c>
      <c r="E2743" s="3">
        <f>HYPERLINK("https://sao.dolgi.msk.ru/account/1404106965/", 1404106965)</f>
        <v>1404106965</v>
      </c>
      <c r="F2743">
        <v>0</v>
      </c>
    </row>
    <row r="2744" spans="1:6" hidden="1" x14ac:dyDescent="0.25">
      <c r="A2744" t="s">
        <v>644</v>
      </c>
      <c r="B2744" t="s">
        <v>123</v>
      </c>
      <c r="E2744" s="3">
        <f>HYPERLINK("https://sao.dolgi.msk.ru/account/1404106308/", 1404106308)</f>
        <v>1404106308</v>
      </c>
      <c r="F2744">
        <v>-3661.03</v>
      </c>
    </row>
    <row r="2745" spans="1:6" hidden="1" x14ac:dyDescent="0.25">
      <c r="A2745" t="s">
        <v>644</v>
      </c>
      <c r="B2745" t="s">
        <v>124</v>
      </c>
      <c r="E2745" s="3">
        <f>HYPERLINK("https://sao.dolgi.msk.ru/account/1404107597/", 1404107597)</f>
        <v>1404107597</v>
      </c>
      <c r="F2745">
        <v>-9566.3799999999992</v>
      </c>
    </row>
    <row r="2746" spans="1:6" hidden="1" x14ac:dyDescent="0.25">
      <c r="A2746" t="s">
        <v>644</v>
      </c>
      <c r="B2746" t="s">
        <v>125</v>
      </c>
      <c r="E2746" s="3">
        <f>HYPERLINK("https://sao.dolgi.msk.ru/account/1404106973/", 1404106973)</f>
        <v>1404106973</v>
      </c>
      <c r="F2746">
        <v>-2902.17</v>
      </c>
    </row>
    <row r="2747" spans="1:6" hidden="1" x14ac:dyDescent="0.25">
      <c r="A2747" t="s">
        <v>644</v>
      </c>
      <c r="B2747" t="s">
        <v>126</v>
      </c>
      <c r="E2747" s="3">
        <f>HYPERLINK("https://sao.dolgi.msk.ru/account/1404106578/", 1404106578)</f>
        <v>1404106578</v>
      </c>
      <c r="F2747">
        <v>-5176.38</v>
      </c>
    </row>
    <row r="2748" spans="1:6" hidden="1" x14ac:dyDescent="0.25">
      <c r="A2748" t="s">
        <v>644</v>
      </c>
      <c r="B2748" t="s">
        <v>127</v>
      </c>
      <c r="E2748" s="3">
        <f>HYPERLINK("https://sao.dolgi.msk.ru/account/1404107466/", 1404107466)</f>
        <v>1404107466</v>
      </c>
      <c r="F2748">
        <v>-7857.73</v>
      </c>
    </row>
    <row r="2749" spans="1:6" hidden="1" x14ac:dyDescent="0.25">
      <c r="A2749" t="s">
        <v>644</v>
      </c>
      <c r="B2749" t="s">
        <v>128</v>
      </c>
      <c r="E2749" s="3">
        <f>HYPERLINK("https://sao.dolgi.msk.ru/account/1404106316/", 1404106316)</f>
        <v>1404106316</v>
      </c>
      <c r="F2749">
        <v>-5886.33</v>
      </c>
    </row>
    <row r="2750" spans="1:6" hidden="1" x14ac:dyDescent="0.25">
      <c r="A2750" t="s">
        <v>644</v>
      </c>
      <c r="B2750" t="s">
        <v>129</v>
      </c>
      <c r="E2750" s="3">
        <f>HYPERLINK("https://sao.dolgi.msk.ru/account/1404106121/", 1404106121)</f>
        <v>1404106121</v>
      </c>
      <c r="F2750">
        <v>-3750.83</v>
      </c>
    </row>
    <row r="2751" spans="1:6" hidden="1" x14ac:dyDescent="0.25">
      <c r="A2751" t="s">
        <v>644</v>
      </c>
      <c r="B2751" t="s">
        <v>130</v>
      </c>
      <c r="E2751" s="3">
        <f>HYPERLINK("https://sao.dolgi.msk.ru/account/1404106762/", 1404106762)</f>
        <v>1404106762</v>
      </c>
      <c r="F2751">
        <v>-9175.09</v>
      </c>
    </row>
    <row r="2752" spans="1:6" x14ac:dyDescent="0.25">
      <c r="A2752" t="s">
        <v>644</v>
      </c>
      <c r="B2752" t="s">
        <v>131</v>
      </c>
      <c r="C2752" s="5" t="str">
        <f>" кв. "&amp;B2752</f>
        <v xml:space="preserve"> кв. 127</v>
      </c>
      <c r="D2752" s="5" t="str">
        <f>CONCATENATE(A2752,C2752)</f>
        <v>Беломорская ул., дом 18А кв. 127</v>
      </c>
      <c r="E2752" s="3">
        <f>HYPERLINK("https://sao.dolgi.msk.ru/account/1404107474/", 1404107474)</f>
        <v>1404107474</v>
      </c>
      <c r="F2752">
        <v>6842.13</v>
      </c>
    </row>
    <row r="2753" spans="1:6" hidden="1" x14ac:dyDescent="0.25">
      <c r="A2753" t="s">
        <v>644</v>
      </c>
      <c r="B2753" t="s">
        <v>132</v>
      </c>
      <c r="E2753" s="3">
        <f>HYPERLINK("https://sao.dolgi.msk.ru/account/1404107634/", 1404107634)</f>
        <v>1404107634</v>
      </c>
      <c r="F2753">
        <v>-7892.34</v>
      </c>
    </row>
    <row r="2754" spans="1:6" hidden="1" x14ac:dyDescent="0.25">
      <c r="A2754" t="s">
        <v>644</v>
      </c>
      <c r="B2754" t="s">
        <v>133</v>
      </c>
      <c r="E2754" s="3">
        <f>HYPERLINK("https://sao.dolgi.msk.ru/account/1404106148/", 1404106148)</f>
        <v>1404106148</v>
      </c>
      <c r="F2754">
        <v>-11874.94</v>
      </c>
    </row>
    <row r="2755" spans="1:6" hidden="1" x14ac:dyDescent="0.25">
      <c r="A2755" t="s">
        <v>644</v>
      </c>
      <c r="B2755" t="s">
        <v>134</v>
      </c>
      <c r="E2755" s="3">
        <f>HYPERLINK("https://sao.dolgi.msk.ru/account/1404106324/", 1404106324)</f>
        <v>1404106324</v>
      </c>
      <c r="F2755">
        <v>-5421.4</v>
      </c>
    </row>
    <row r="2756" spans="1:6" hidden="1" x14ac:dyDescent="0.25">
      <c r="A2756" t="s">
        <v>644</v>
      </c>
      <c r="B2756" t="s">
        <v>135</v>
      </c>
      <c r="E2756" s="3">
        <f>HYPERLINK("https://sao.dolgi.msk.ru/account/1404107001/", 1404107001)</f>
        <v>1404107001</v>
      </c>
      <c r="F2756">
        <v>-3605.1</v>
      </c>
    </row>
    <row r="2757" spans="1:6" hidden="1" x14ac:dyDescent="0.25">
      <c r="A2757" t="s">
        <v>644</v>
      </c>
      <c r="B2757" t="s">
        <v>136</v>
      </c>
      <c r="E2757" s="3">
        <f>HYPERLINK("https://sao.dolgi.msk.ru/account/1404106332/", 1404106332)</f>
        <v>1404106332</v>
      </c>
      <c r="F2757">
        <v>-2332.5100000000002</v>
      </c>
    </row>
    <row r="2758" spans="1:6" hidden="1" x14ac:dyDescent="0.25">
      <c r="A2758" t="s">
        <v>645</v>
      </c>
      <c r="B2758" t="s">
        <v>5</v>
      </c>
      <c r="E2758" s="3">
        <f>HYPERLINK("https://sao.dolgi.msk.ru/account/1404195443/", 1404195443)</f>
        <v>1404195443</v>
      </c>
      <c r="F2758">
        <v>-2292.71</v>
      </c>
    </row>
    <row r="2759" spans="1:6" x14ac:dyDescent="0.25">
      <c r="A2759" t="s">
        <v>645</v>
      </c>
      <c r="B2759" t="s">
        <v>6</v>
      </c>
      <c r="C2759" s="5" t="str">
        <f>" кв. "&amp;B2759</f>
        <v xml:space="preserve"> кв. 2</v>
      </c>
      <c r="D2759" s="5" t="str">
        <f>CONCATENATE(A2759,C2759)</f>
        <v>Беломорская ул., дом 20 к.1 кв. 2</v>
      </c>
      <c r="E2759" s="3">
        <f>HYPERLINK("https://sao.dolgi.msk.ru/account/1404197019/", 1404197019)</f>
        <v>1404197019</v>
      </c>
      <c r="F2759">
        <v>1176.6400000000001</v>
      </c>
    </row>
    <row r="2760" spans="1:6" hidden="1" x14ac:dyDescent="0.25">
      <c r="A2760" t="s">
        <v>645</v>
      </c>
      <c r="B2760" t="s">
        <v>7</v>
      </c>
      <c r="E2760" s="3">
        <f>HYPERLINK("https://sao.dolgi.msk.ru/account/1404195769/", 1404195769)</f>
        <v>1404195769</v>
      </c>
      <c r="F2760">
        <v>0</v>
      </c>
    </row>
    <row r="2761" spans="1:6" hidden="1" x14ac:dyDescent="0.25">
      <c r="A2761" t="s">
        <v>645</v>
      </c>
      <c r="B2761" t="s">
        <v>8</v>
      </c>
      <c r="E2761" s="3">
        <f>HYPERLINK("https://sao.dolgi.msk.ru/account/1404197035/", 1404197035)</f>
        <v>1404197035</v>
      </c>
      <c r="F2761">
        <v>-2523.81</v>
      </c>
    </row>
    <row r="2762" spans="1:6" hidden="1" x14ac:dyDescent="0.25">
      <c r="A2762" t="s">
        <v>645</v>
      </c>
      <c r="B2762" t="s">
        <v>9</v>
      </c>
      <c r="E2762" s="3">
        <f>HYPERLINK("https://sao.dolgi.msk.ru/account/1404196817/", 1404196817)</f>
        <v>1404196817</v>
      </c>
      <c r="F2762">
        <v>-2722.41</v>
      </c>
    </row>
    <row r="2763" spans="1:6" hidden="1" x14ac:dyDescent="0.25">
      <c r="A2763" t="s">
        <v>645</v>
      </c>
      <c r="B2763" t="s">
        <v>10</v>
      </c>
      <c r="E2763" s="3">
        <f>HYPERLINK("https://sao.dolgi.msk.ru/account/1404197027/", 1404197027)</f>
        <v>1404197027</v>
      </c>
      <c r="F2763">
        <v>-1714.79</v>
      </c>
    </row>
    <row r="2764" spans="1:6" hidden="1" x14ac:dyDescent="0.25">
      <c r="A2764" t="s">
        <v>645</v>
      </c>
      <c r="B2764" t="s">
        <v>11</v>
      </c>
      <c r="E2764" s="3">
        <f>HYPERLINK("https://sao.dolgi.msk.ru/account/1404196972/", 1404196972)</f>
        <v>1404196972</v>
      </c>
      <c r="F2764">
        <v>-1719.42</v>
      </c>
    </row>
    <row r="2765" spans="1:6" hidden="1" x14ac:dyDescent="0.25">
      <c r="A2765" t="s">
        <v>645</v>
      </c>
      <c r="B2765" t="s">
        <v>12</v>
      </c>
      <c r="E2765" s="3">
        <f>HYPERLINK("https://sao.dolgi.msk.ru/account/1404196745/", 1404196745)</f>
        <v>1404196745</v>
      </c>
      <c r="F2765">
        <v>-2680.8</v>
      </c>
    </row>
    <row r="2766" spans="1:6" hidden="1" x14ac:dyDescent="0.25">
      <c r="A2766" t="s">
        <v>645</v>
      </c>
      <c r="B2766" t="s">
        <v>13</v>
      </c>
      <c r="E2766" s="3">
        <f>HYPERLINK("https://sao.dolgi.msk.ru/account/1404195144/", 1404195144)</f>
        <v>1404195144</v>
      </c>
      <c r="F2766">
        <v>0</v>
      </c>
    </row>
    <row r="2767" spans="1:6" hidden="1" x14ac:dyDescent="0.25">
      <c r="A2767" t="s">
        <v>645</v>
      </c>
      <c r="B2767" t="s">
        <v>14</v>
      </c>
      <c r="E2767" s="3">
        <f>HYPERLINK("https://sao.dolgi.msk.ru/account/1404196024/", 1404196024)</f>
        <v>1404196024</v>
      </c>
      <c r="F2767">
        <v>0</v>
      </c>
    </row>
    <row r="2768" spans="1:6" x14ac:dyDescent="0.25">
      <c r="A2768" t="s">
        <v>645</v>
      </c>
      <c r="B2768" t="s">
        <v>15</v>
      </c>
      <c r="C2768" s="5" t="str">
        <f>" кв. "&amp;B2768</f>
        <v xml:space="preserve"> кв. 11</v>
      </c>
      <c r="D2768" s="5" t="str">
        <f>CONCATENATE(A2768,C2768)</f>
        <v>Беломорская ул., дом 20 к.1 кв. 11</v>
      </c>
      <c r="E2768" s="3">
        <f>HYPERLINK("https://sao.dolgi.msk.ru/account/1404197166/", 1404197166)</f>
        <v>1404197166</v>
      </c>
      <c r="F2768">
        <v>1176.6400000000001</v>
      </c>
    </row>
    <row r="2769" spans="1:6" hidden="1" x14ac:dyDescent="0.25">
      <c r="A2769" t="s">
        <v>645</v>
      </c>
      <c r="B2769" t="s">
        <v>16</v>
      </c>
      <c r="E2769" s="3">
        <f>HYPERLINK("https://sao.dolgi.msk.ru/account/1404196649/", 1404196649)</f>
        <v>1404196649</v>
      </c>
      <c r="F2769">
        <v>-1391.98</v>
      </c>
    </row>
    <row r="2770" spans="1:6" x14ac:dyDescent="0.25">
      <c r="A2770" t="s">
        <v>645</v>
      </c>
      <c r="B2770" t="s">
        <v>17</v>
      </c>
      <c r="C2770" s="5" t="str">
        <f t="shared" ref="C2770:C2772" si="118">" кв. "&amp;B2770</f>
        <v xml:space="preserve"> кв. 13</v>
      </c>
      <c r="D2770" s="5" t="str">
        <f>CONCATENATE(A2770,C2770)</f>
        <v>Беломорская ул., дом 20 к.1 кв. 13</v>
      </c>
      <c r="E2770" s="3">
        <f>HYPERLINK("https://sao.dolgi.msk.ru/account/1404196964/", 1404196964)</f>
        <v>1404196964</v>
      </c>
      <c r="F2770">
        <v>1002.67</v>
      </c>
    </row>
    <row r="2771" spans="1:6" x14ac:dyDescent="0.25">
      <c r="A2771" t="s">
        <v>645</v>
      </c>
      <c r="B2771" t="s">
        <v>18</v>
      </c>
      <c r="C2771" s="5" t="str">
        <f t="shared" si="118"/>
        <v xml:space="preserve"> кв. 14</v>
      </c>
      <c r="D2771" s="5" t="str">
        <f>CONCATENATE(A2771,C2771)</f>
        <v>Беломорская ул., дом 20 к.1 кв. 14</v>
      </c>
      <c r="E2771" s="3">
        <f>HYPERLINK("https://sao.dolgi.msk.ru/account/1404196948/", 1404196948)</f>
        <v>1404196948</v>
      </c>
      <c r="F2771">
        <v>1176.6400000000001</v>
      </c>
    </row>
    <row r="2772" spans="1:6" x14ac:dyDescent="0.25">
      <c r="A2772" t="s">
        <v>645</v>
      </c>
      <c r="B2772" t="s">
        <v>19</v>
      </c>
      <c r="C2772" s="5" t="str">
        <f t="shared" si="118"/>
        <v xml:space="preserve"> кв. 15</v>
      </c>
      <c r="D2772" s="5" t="str">
        <f>CONCATENATE(A2772,C2772)</f>
        <v>Беломорская ул., дом 20 к.1 кв. 15</v>
      </c>
      <c r="E2772" s="3">
        <f>HYPERLINK("https://sao.dolgi.msk.ru/account/1404196454/", 1404196454)</f>
        <v>1404196454</v>
      </c>
      <c r="F2772">
        <v>1170.31</v>
      </c>
    </row>
    <row r="2773" spans="1:6" hidden="1" x14ac:dyDescent="0.25">
      <c r="A2773" t="s">
        <v>645</v>
      </c>
      <c r="B2773" t="s">
        <v>20</v>
      </c>
      <c r="E2773" s="3">
        <f>HYPERLINK("https://sao.dolgi.msk.ru/account/1404195881/", 1404195881)</f>
        <v>1404195881</v>
      </c>
      <c r="F2773">
        <v>-2671.55</v>
      </c>
    </row>
    <row r="2774" spans="1:6" hidden="1" x14ac:dyDescent="0.25">
      <c r="A2774" t="s">
        <v>645</v>
      </c>
      <c r="B2774" t="s">
        <v>21</v>
      </c>
      <c r="E2774" s="3">
        <f>HYPERLINK("https://sao.dolgi.msk.ru/account/1404196956/", 1404196956)</f>
        <v>1404196956</v>
      </c>
      <c r="F2774">
        <v>-1632.38</v>
      </c>
    </row>
    <row r="2775" spans="1:6" hidden="1" x14ac:dyDescent="0.25">
      <c r="A2775" t="s">
        <v>645</v>
      </c>
      <c r="B2775" t="s">
        <v>22</v>
      </c>
      <c r="E2775" s="3">
        <f>HYPERLINK("https://sao.dolgi.msk.ru/account/1404196462/", 1404196462)</f>
        <v>1404196462</v>
      </c>
      <c r="F2775">
        <v>-947.53</v>
      </c>
    </row>
    <row r="2776" spans="1:6" x14ac:dyDescent="0.25">
      <c r="A2776" t="s">
        <v>645</v>
      </c>
      <c r="B2776" t="s">
        <v>23</v>
      </c>
      <c r="C2776" s="5" t="str">
        <f>" кв. "&amp;B2776</f>
        <v xml:space="preserve"> кв. 19</v>
      </c>
      <c r="D2776" s="5" t="str">
        <f>CONCATENATE(A2776,C2776)</f>
        <v>Беломорская ул., дом 20 к.1 кв. 19</v>
      </c>
      <c r="E2776" s="3">
        <f>HYPERLINK("https://sao.dolgi.msk.ru/account/1404195304/", 1404195304)</f>
        <v>1404195304</v>
      </c>
      <c r="F2776">
        <v>1170.31</v>
      </c>
    </row>
    <row r="2777" spans="1:6" hidden="1" x14ac:dyDescent="0.25">
      <c r="A2777" t="s">
        <v>645</v>
      </c>
      <c r="B2777" t="s">
        <v>24</v>
      </c>
      <c r="E2777" s="3">
        <f>HYPERLINK("https://sao.dolgi.msk.ru/account/1404196294/", 1404196294)</f>
        <v>1404196294</v>
      </c>
      <c r="F2777">
        <v>-4507.5600000000004</v>
      </c>
    </row>
    <row r="2778" spans="1:6" hidden="1" x14ac:dyDescent="0.25">
      <c r="A2778" t="s">
        <v>645</v>
      </c>
      <c r="B2778" t="s">
        <v>25</v>
      </c>
      <c r="E2778" s="3">
        <f>HYPERLINK("https://sao.dolgi.msk.ru/account/1404195777/", 1404195777)</f>
        <v>1404195777</v>
      </c>
      <c r="F2778">
        <v>-1332.75</v>
      </c>
    </row>
    <row r="2779" spans="1:6" hidden="1" x14ac:dyDescent="0.25">
      <c r="A2779" t="s">
        <v>645</v>
      </c>
      <c r="B2779" t="s">
        <v>26</v>
      </c>
      <c r="E2779" s="3">
        <f>HYPERLINK("https://sao.dolgi.msk.ru/account/1404197086/", 1404197086)</f>
        <v>1404197086</v>
      </c>
      <c r="F2779">
        <v>-1714.79</v>
      </c>
    </row>
    <row r="2780" spans="1:6" hidden="1" x14ac:dyDescent="0.25">
      <c r="A2780" t="s">
        <v>645</v>
      </c>
      <c r="B2780" t="s">
        <v>27</v>
      </c>
      <c r="E2780" s="3">
        <f>HYPERLINK("https://sao.dolgi.msk.ru/account/1404196382/", 1404196382)</f>
        <v>1404196382</v>
      </c>
      <c r="F2780">
        <v>0</v>
      </c>
    </row>
    <row r="2781" spans="1:6" hidden="1" x14ac:dyDescent="0.25">
      <c r="A2781" t="s">
        <v>645</v>
      </c>
      <c r="B2781" t="s">
        <v>28</v>
      </c>
      <c r="E2781" s="3">
        <f>HYPERLINK("https://sao.dolgi.msk.ru/account/1404196403/", 1404196403)</f>
        <v>1404196403</v>
      </c>
      <c r="F2781">
        <v>-2666.93</v>
      </c>
    </row>
    <row r="2782" spans="1:6" hidden="1" x14ac:dyDescent="0.25">
      <c r="A2782" t="s">
        <v>645</v>
      </c>
      <c r="B2782" t="s">
        <v>29</v>
      </c>
      <c r="E2782" s="3">
        <f>HYPERLINK("https://sao.dolgi.msk.ru/account/1404195857/", 1404195857)</f>
        <v>1404195857</v>
      </c>
      <c r="F2782">
        <v>-1363.52</v>
      </c>
    </row>
    <row r="2783" spans="1:6" x14ac:dyDescent="0.25">
      <c r="A2783" t="s">
        <v>645</v>
      </c>
      <c r="B2783" t="s">
        <v>30</v>
      </c>
      <c r="C2783" s="5" t="str">
        <f>" кв. "&amp;B2783</f>
        <v xml:space="preserve"> кв. 26</v>
      </c>
      <c r="D2783" s="5" t="str">
        <f>CONCATENATE(A2783,C2783)</f>
        <v>Беломорская ул., дом 20 к.1 кв. 26</v>
      </c>
      <c r="E2783" s="3">
        <f>HYPERLINK("https://sao.dolgi.msk.ru/account/1404196411/", 1404196411)</f>
        <v>1404196411</v>
      </c>
      <c r="F2783">
        <v>1176.6400000000001</v>
      </c>
    </row>
    <row r="2784" spans="1:6" hidden="1" x14ac:dyDescent="0.25">
      <c r="A2784" t="s">
        <v>645</v>
      </c>
      <c r="B2784" t="s">
        <v>31</v>
      </c>
      <c r="E2784" s="3">
        <f>HYPERLINK("https://sao.dolgi.msk.ru/account/1404196438/", 1404196438)</f>
        <v>1404196438</v>
      </c>
      <c r="F2784">
        <v>-1714.79</v>
      </c>
    </row>
    <row r="2785" spans="1:6" x14ac:dyDescent="0.25">
      <c r="A2785" t="s">
        <v>645</v>
      </c>
      <c r="B2785" t="s">
        <v>32</v>
      </c>
      <c r="C2785" s="5" t="str">
        <f>" кв. "&amp;B2785</f>
        <v xml:space="preserve"> кв. 28</v>
      </c>
      <c r="D2785" s="5" t="str">
        <f>CONCATENATE(A2785,C2785)</f>
        <v>Беломорская ул., дом 20 к.1 кв. 28</v>
      </c>
      <c r="E2785" s="3">
        <f>HYPERLINK("https://sao.dolgi.msk.ru/account/1404195064/", 1404195064)</f>
        <v>1404195064</v>
      </c>
      <c r="F2785">
        <v>1828.21</v>
      </c>
    </row>
    <row r="2786" spans="1:6" hidden="1" x14ac:dyDescent="0.25">
      <c r="A2786" t="s">
        <v>645</v>
      </c>
      <c r="B2786" t="s">
        <v>33</v>
      </c>
      <c r="E2786" s="3">
        <f>HYPERLINK("https://sao.dolgi.msk.ru/account/1404196681/", 1404196681)</f>
        <v>1404196681</v>
      </c>
      <c r="F2786">
        <v>-644.55999999999995</v>
      </c>
    </row>
    <row r="2787" spans="1:6" hidden="1" x14ac:dyDescent="0.25">
      <c r="A2787" t="s">
        <v>645</v>
      </c>
      <c r="B2787" t="s">
        <v>34</v>
      </c>
      <c r="E2787" s="3">
        <f>HYPERLINK("https://sao.dolgi.msk.ru/account/1404196171/", 1404196171)</f>
        <v>1404196171</v>
      </c>
      <c r="F2787">
        <v>-1714.79</v>
      </c>
    </row>
    <row r="2788" spans="1:6" hidden="1" x14ac:dyDescent="0.25">
      <c r="A2788" t="s">
        <v>645</v>
      </c>
      <c r="B2788" t="s">
        <v>35</v>
      </c>
      <c r="E2788" s="3">
        <f>HYPERLINK("https://sao.dolgi.msk.ru/account/1404195363/", 1404195363)</f>
        <v>1404195363</v>
      </c>
      <c r="F2788">
        <v>-2880.48</v>
      </c>
    </row>
    <row r="2789" spans="1:6" hidden="1" x14ac:dyDescent="0.25">
      <c r="A2789" t="s">
        <v>645</v>
      </c>
      <c r="B2789" t="s">
        <v>36</v>
      </c>
      <c r="E2789" s="3">
        <f>HYPERLINK("https://sao.dolgi.msk.ru/account/1404195945/", 1404195945)</f>
        <v>1404195945</v>
      </c>
      <c r="F2789">
        <v>-2680.8</v>
      </c>
    </row>
    <row r="2790" spans="1:6" x14ac:dyDescent="0.25">
      <c r="A2790" t="s">
        <v>645</v>
      </c>
      <c r="B2790" t="s">
        <v>37</v>
      </c>
      <c r="C2790" s="5" t="str">
        <f>" кв. "&amp;B2790</f>
        <v xml:space="preserve"> кв. 33</v>
      </c>
      <c r="D2790" s="5" t="str">
        <f>CONCATENATE(A2790,C2790)</f>
        <v>Беломорская ул., дом 20 к.1 кв. 33</v>
      </c>
      <c r="E2790" s="3">
        <f>HYPERLINK("https://sao.dolgi.msk.ru/account/1404196753/", 1404196753)</f>
        <v>1404196753</v>
      </c>
      <c r="F2790">
        <v>1859.84</v>
      </c>
    </row>
    <row r="2791" spans="1:6" hidden="1" x14ac:dyDescent="0.25">
      <c r="A2791" t="s">
        <v>645</v>
      </c>
      <c r="B2791" t="s">
        <v>38</v>
      </c>
      <c r="E2791" s="3">
        <f>HYPERLINK("https://sao.dolgi.msk.ru/account/1404195494/", 1404195494)</f>
        <v>1404195494</v>
      </c>
      <c r="F2791">
        <v>-1714.79</v>
      </c>
    </row>
    <row r="2792" spans="1:6" x14ac:dyDescent="0.25">
      <c r="A2792" t="s">
        <v>645</v>
      </c>
      <c r="B2792" t="s">
        <v>39</v>
      </c>
      <c r="C2792" s="5" t="str">
        <f>" кв. "&amp;B2792</f>
        <v xml:space="preserve"> кв. 35</v>
      </c>
      <c r="D2792" s="5" t="str">
        <f>CONCATENATE(A2792,C2792)</f>
        <v>Беломорская ул., дом 20 к.1 кв. 35</v>
      </c>
      <c r="E2792" s="3">
        <f>HYPERLINK("https://sao.dolgi.msk.ru/account/1404195507/", 1404195507)</f>
        <v>1404195507</v>
      </c>
      <c r="F2792">
        <v>1176.6400000000001</v>
      </c>
    </row>
    <row r="2793" spans="1:6" hidden="1" x14ac:dyDescent="0.25">
      <c r="A2793" t="s">
        <v>645</v>
      </c>
      <c r="B2793" t="s">
        <v>40</v>
      </c>
      <c r="E2793" s="3">
        <f>HYPERLINK("https://sao.dolgi.msk.ru/account/1404195195/", 1404195195)</f>
        <v>1404195195</v>
      </c>
      <c r="F2793">
        <v>-370</v>
      </c>
    </row>
    <row r="2794" spans="1:6" hidden="1" x14ac:dyDescent="0.25">
      <c r="A2794" t="s">
        <v>645</v>
      </c>
      <c r="B2794" t="s">
        <v>40</v>
      </c>
      <c r="E2794" s="3">
        <f>HYPERLINK("https://sao.dolgi.msk.ru/account/1404196868/", 1404196868)</f>
        <v>1404196868</v>
      </c>
      <c r="F2794">
        <v>-235.94</v>
      </c>
    </row>
    <row r="2795" spans="1:6" x14ac:dyDescent="0.25">
      <c r="A2795" t="s">
        <v>645</v>
      </c>
      <c r="B2795" t="s">
        <v>41</v>
      </c>
      <c r="C2795" s="5" t="str">
        <f t="shared" ref="C2795:C2796" si="119">" кв. "&amp;B2795</f>
        <v xml:space="preserve"> кв. 37</v>
      </c>
      <c r="D2795" s="5" t="str">
        <f>CONCATENATE(A2795,C2795)</f>
        <v>Беломорская ул., дом 20 к.1 кв. 37</v>
      </c>
      <c r="E2795" s="3">
        <f>HYPERLINK("https://sao.dolgi.msk.ru/account/1404195814/", 1404195814)</f>
        <v>1404195814</v>
      </c>
      <c r="F2795">
        <v>1866.17</v>
      </c>
    </row>
    <row r="2796" spans="1:6" x14ac:dyDescent="0.25">
      <c r="A2796" t="s">
        <v>645</v>
      </c>
      <c r="B2796" t="s">
        <v>42</v>
      </c>
      <c r="C2796" s="5" t="str">
        <f t="shared" si="119"/>
        <v xml:space="preserve"> кв. 38</v>
      </c>
      <c r="D2796" s="5" t="str">
        <f>CONCATENATE(A2796,C2796)</f>
        <v>Беломорская ул., дом 20 к.1 кв. 38</v>
      </c>
      <c r="E2796" s="3">
        <f>HYPERLINK("https://sao.dolgi.msk.ru/account/1404196884/", 1404196884)</f>
        <v>1404196884</v>
      </c>
      <c r="F2796">
        <v>1173.47</v>
      </c>
    </row>
    <row r="2797" spans="1:6" hidden="1" x14ac:dyDescent="0.25">
      <c r="A2797" t="s">
        <v>645</v>
      </c>
      <c r="B2797" t="s">
        <v>43</v>
      </c>
      <c r="E2797" s="3">
        <f>HYPERLINK("https://sao.dolgi.msk.ru/account/1404197182/", 1404197182)</f>
        <v>1404197182</v>
      </c>
      <c r="F2797">
        <v>0</v>
      </c>
    </row>
    <row r="2798" spans="1:6" hidden="1" x14ac:dyDescent="0.25">
      <c r="A2798" t="s">
        <v>645</v>
      </c>
      <c r="B2798" t="s">
        <v>44</v>
      </c>
      <c r="E2798" s="3">
        <f>HYPERLINK("https://sao.dolgi.msk.ru/account/1404196665/", 1404196665)</f>
        <v>1404196665</v>
      </c>
      <c r="F2798">
        <v>-2095.15</v>
      </c>
    </row>
    <row r="2799" spans="1:6" hidden="1" x14ac:dyDescent="0.25">
      <c r="A2799" t="s">
        <v>645</v>
      </c>
      <c r="B2799" t="s">
        <v>45</v>
      </c>
      <c r="E2799" s="3">
        <f>HYPERLINK("https://sao.dolgi.msk.ru/account/1404196761/", 1404196761)</f>
        <v>1404196761</v>
      </c>
      <c r="F2799">
        <v>-2296.61</v>
      </c>
    </row>
    <row r="2800" spans="1:6" x14ac:dyDescent="0.25">
      <c r="A2800" t="s">
        <v>645</v>
      </c>
      <c r="B2800" t="s">
        <v>46</v>
      </c>
      <c r="C2800" s="5" t="str">
        <f t="shared" ref="C2800:C2803" si="120">" кв. "&amp;B2800</f>
        <v xml:space="preserve"> кв. 42</v>
      </c>
      <c r="D2800" s="5" t="str">
        <f>CONCATENATE(A2800,C2800)</f>
        <v>Беломорская ул., дом 20 к.1 кв. 42</v>
      </c>
      <c r="E2800" s="3">
        <f>HYPERLINK("https://sao.dolgi.msk.ru/account/1404195988/", 1404195988)</f>
        <v>1404195988</v>
      </c>
      <c r="F2800">
        <v>1176.6400000000001</v>
      </c>
    </row>
    <row r="2801" spans="1:6" x14ac:dyDescent="0.25">
      <c r="A2801" t="s">
        <v>645</v>
      </c>
      <c r="B2801" t="s">
        <v>47</v>
      </c>
      <c r="C2801" s="5" t="str">
        <f t="shared" si="120"/>
        <v xml:space="preserve"> кв. 43</v>
      </c>
      <c r="D2801" s="5" t="str">
        <f>CONCATENATE(A2801,C2801)</f>
        <v>Беломорская ул., дом 20 к.1 кв. 43</v>
      </c>
      <c r="E2801" s="3">
        <f>HYPERLINK("https://sao.dolgi.msk.ru/account/1404195419/", 1404195419)</f>
        <v>1404195419</v>
      </c>
      <c r="F2801">
        <v>1170.31</v>
      </c>
    </row>
    <row r="2802" spans="1:6" x14ac:dyDescent="0.25">
      <c r="A2802" t="s">
        <v>645</v>
      </c>
      <c r="B2802" t="s">
        <v>48</v>
      </c>
      <c r="C2802" s="5" t="str">
        <f t="shared" si="120"/>
        <v xml:space="preserve"> кв. 44</v>
      </c>
      <c r="D2802" s="5" t="str">
        <f>CONCATENATE(A2802,C2802)</f>
        <v>Беломорская ул., дом 20 к.1 кв. 44</v>
      </c>
      <c r="E2802" s="3">
        <f>HYPERLINK("https://sao.dolgi.msk.ru/account/1404196569/", 1404196569)</f>
        <v>1404196569</v>
      </c>
      <c r="F2802">
        <v>1828.21</v>
      </c>
    </row>
    <row r="2803" spans="1:6" x14ac:dyDescent="0.25">
      <c r="A2803" t="s">
        <v>645</v>
      </c>
      <c r="B2803" t="s">
        <v>49</v>
      </c>
      <c r="C2803" s="5" t="str">
        <f t="shared" si="120"/>
        <v xml:space="preserve"> кв. 45</v>
      </c>
      <c r="D2803" s="5" t="str">
        <f>CONCATENATE(A2803,C2803)</f>
        <v>Беломорская ул., дом 20 к.1 кв. 45</v>
      </c>
      <c r="E2803" s="3">
        <f>HYPERLINK("https://sao.dolgi.msk.ru/account/1404196788/", 1404196788)</f>
        <v>1404196788</v>
      </c>
      <c r="F2803">
        <v>1863.01</v>
      </c>
    </row>
    <row r="2804" spans="1:6" hidden="1" x14ac:dyDescent="0.25">
      <c r="A2804" t="s">
        <v>645</v>
      </c>
      <c r="B2804" t="s">
        <v>50</v>
      </c>
      <c r="E2804" s="3">
        <f>HYPERLINK("https://sao.dolgi.msk.ru/account/1404196673/", 1404196673)</f>
        <v>1404196673</v>
      </c>
      <c r="F2804">
        <v>-1747.13</v>
      </c>
    </row>
    <row r="2805" spans="1:6" hidden="1" x14ac:dyDescent="0.25">
      <c r="A2805" t="s">
        <v>645</v>
      </c>
      <c r="B2805" t="s">
        <v>51</v>
      </c>
      <c r="E2805" s="3">
        <f>HYPERLINK("https://sao.dolgi.msk.ru/account/1404196905/", 1404196905)</f>
        <v>1404196905</v>
      </c>
      <c r="F2805">
        <v>-1742.51</v>
      </c>
    </row>
    <row r="2806" spans="1:6" hidden="1" x14ac:dyDescent="0.25">
      <c r="A2806" t="s">
        <v>645</v>
      </c>
      <c r="B2806" t="s">
        <v>52</v>
      </c>
      <c r="E2806" s="3">
        <f>HYPERLINK("https://sao.dolgi.msk.ru/account/1404195566/", 1404195566)</f>
        <v>1404195566</v>
      </c>
      <c r="F2806">
        <v>-2666.93</v>
      </c>
    </row>
    <row r="2807" spans="1:6" x14ac:dyDescent="0.25">
      <c r="A2807" t="s">
        <v>645</v>
      </c>
      <c r="B2807" t="s">
        <v>53</v>
      </c>
      <c r="C2807" s="5" t="str">
        <f>" кв. "&amp;B2807</f>
        <v xml:space="preserve"> кв. 49</v>
      </c>
      <c r="D2807" s="5" t="str">
        <f>CONCATENATE(A2807,C2807)</f>
        <v>Беломорская ул., дом 20 к.1 кв. 49</v>
      </c>
      <c r="E2807" s="3">
        <f>HYPERLINK("https://sao.dolgi.msk.ru/account/1404195574/", 1404195574)</f>
        <v>1404195574</v>
      </c>
      <c r="F2807">
        <v>1866.17</v>
      </c>
    </row>
    <row r="2808" spans="1:6" hidden="1" x14ac:dyDescent="0.25">
      <c r="A2808" t="s">
        <v>645</v>
      </c>
      <c r="B2808" t="s">
        <v>54</v>
      </c>
      <c r="E2808" s="3">
        <f>HYPERLINK("https://sao.dolgi.msk.ru/account/1404195718/", 1404195718)</f>
        <v>1404195718</v>
      </c>
      <c r="F2808">
        <v>-1747.13</v>
      </c>
    </row>
    <row r="2809" spans="1:6" x14ac:dyDescent="0.25">
      <c r="A2809" t="s">
        <v>645</v>
      </c>
      <c r="B2809" t="s">
        <v>55</v>
      </c>
      <c r="C2809" s="5" t="str">
        <f>" кв. "&amp;B2809</f>
        <v xml:space="preserve"> кв. 51</v>
      </c>
      <c r="D2809" s="5" t="str">
        <f>CONCATENATE(A2809,C2809)</f>
        <v>Беломорская ул., дом 20 к.1 кв. 51</v>
      </c>
      <c r="E2809" s="3">
        <f>HYPERLINK("https://sao.dolgi.msk.ru/account/1404196702/", 1404196702)</f>
        <v>1404196702</v>
      </c>
      <c r="F2809">
        <v>1192.45</v>
      </c>
    </row>
    <row r="2810" spans="1:6" hidden="1" x14ac:dyDescent="0.25">
      <c r="A2810" t="s">
        <v>645</v>
      </c>
      <c r="B2810" t="s">
        <v>56</v>
      </c>
      <c r="E2810" s="3">
        <f>HYPERLINK("https://sao.dolgi.msk.ru/account/1404195638/", 1404195638)</f>
        <v>1404195638</v>
      </c>
      <c r="F2810">
        <v>0</v>
      </c>
    </row>
    <row r="2811" spans="1:6" hidden="1" x14ac:dyDescent="0.25">
      <c r="A2811" t="s">
        <v>645</v>
      </c>
      <c r="B2811" t="s">
        <v>57</v>
      </c>
      <c r="E2811" s="3">
        <f>HYPERLINK("https://sao.dolgi.msk.ru/account/1404195865/", 1404195865)</f>
        <v>1404195865</v>
      </c>
      <c r="F2811">
        <v>-2292.71</v>
      </c>
    </row>
    <row r="2812" spans="1:6" hidden="1" x14ac:dyDescent="0.25">
      <c r="A2812" t="s">
        <v>645</v>
      </c>
      <c r="B2812" t="s">
        <v>58</v>
      </c>
      <c r="E2812" s="3">
        <f>HYPERLINK("https://sao.dolgi.msk.ru/account/1404195937/", 1404195937)</f>
        <v>1404195937</v>
      </c>
      <c r="F2812">
        <v>0</v>
      </c>
    </row>
    <row r="2813" spans="1:6" hidden="1" x14ac:dyDescent="0.25">
      <c r="A2813" t="s">
        <v>645</v>
      </c>
      <c r="B2813" t="s">
        <v>59</v>
      </c>
      <c r="E2813" s="3">
        <f>HYPERLINK("https://sao.dolgi.msk.ru/account/1404196243/", 1404196243)</f>
        <v>1404196243</v>
      </c>
      <c r="F2813">
        <v>0</v>
      </c>
    </row>
    <row r="2814" spans="1:6" hidden="1" x14ac:dyDescent="0.25">
      <c r="A2814" t="s">
        <v>645</v>
      </c>
      <c r="B2814" t="s">
        <v>60</v>
      </c>
      <c r="E2814" s="3">
        <f>HYPERLINK("https://sao.dolgi.msk.ru/account/1404196251/", 1404196251)</f>
        <v>1404196251</v>
      </c>
      <c r="F2814">
        <v>-2662.31</v>
      </c>
    </row>
    <row r="2815" spans="1:6" hidden="1" x14ac:dyDescent="0.25">
      <c r="A2815" t="s">
        <v>645</v>
      </c>
      <c r="B2815" t="s">
        <v>61</v>
      </c>
      <c r="E2815" s="3">
        <f>HYPERLINK("https://sao.dolgi.msk.ru/account/1404196198/", 1404196198)</f>
        <v>1404196198</v>
      </c>
      <c r="F2815">
        <v>0</v>
      </c>
    </row>
    <row r="2816" spans="1:6" x14ac:dyDescent="0.25">
      <c r="A2816" t="s">
        <v>645</v>
      </c>
      <c r="B2816" t="s">
        <v>62</v>
      </c>
      <c r="C2816" s="5" t="str">
        <f>" кв. "&amp;B2816</f>
        <v xml:space="preserve"> кв. 58</v>
      </c>
      <c r="D2816" s="5" t="str">
        <f>CONCATENATE(A2816,C2816)</f>
        <v>Беломорская ул., дом 20 к.1 кв. 58</v>
      </c>
      <c r="E2816" s="3">
        <f>HYPERLINK("https://sao.dolgi.msk.ru/account/1404196526/", 1404196526)</f>
        <v>1404196526</v>
      </c>
      <c r="F2816">
        <v>1198.78</v>
      </c>
    </row>
    <row r="2817" spans="1:6" hidden="1" x14ac:dyDescent="0.25">
      <c r="A2817" t="s">
        <v>645</v>
      </c>
      <c r="B2817" t="s">
        <v>63</v>
      </c>
      <c r="E2817" s="3">
        <f>HYPERLINK("https://sao.dolgi.msk.ru/account/1404196219/", 1404196219)</f>
        <v>1404196219</v>
      </c>
      <c r="F2817">
        <v>-1737.89</v>
      </c>
    </row>
    <row r="2818" spans="1:6" hidden="1" x14ac:dyDescent="0.25">
      <c r="A2818" t="s">
        <v>645</v>
      </c>
      <c r="B2818" t="s">
        <v>64</v>
      </c>
      <c r="E2818" s="3">
        <f>HYPERLINK("https://sao.dolgi.msk.ru/account/1404195371/", 1404195371)</f>
        <v>1404195371</v>
      </c>
      <c r="F2818">
        <v>0</v>
      </c>
    </row>
    <row r="2819" spans="1:6" hidden="1" x14ac:dyDescent="0.25">
      <c r="A2819" t="s">
        <v>645</v>
      </c>
      <c r="B2819" t="s">
        <v>65</v>
      </c>
      <c r="E2819" s="3">
        <f>HYPERLINK("https://sao.dolgi.msk.ru/account/1404196155/", 1404196155)</f>
        <v>1404196155</v>
      </c>
      <c r="F2819">
        <v>-1812.81</v>
      </c>
    </row>
    <row r="2820" spans="1:6" x14ac:dyDescent="0.25">
      <c r="A2820" t="s">
        <v>645</v>
      </c>
      <c r="B2820" t="s">
        <v>66</v>
      </c>
      <c r="C2820" s="5" t="str">
        <f>" кв. "&amp;B2820</f>
        <v xml:space="preserve"> кв. 62</v>
      </c>
      <c r="D2820" s="5" t="str">
        <f>CONCATENATE(A2820,C2820)</f>
        <v>Беломорская ул., дом 20 к.1 кв. 62</v>
      </c>
      <c r="E2820" s="3">
        <f>HYPERLINK("https://sao.dolgi.msk.ru/account/1404196657/", 1404196657)</f>
        <v>1404196657</v>
      </c>
      <c r="F2820">
        <v>1192.45</v>
      </c>
    </row>
    <row r="2821" spans="1:6" hidden="1" x14ac:dyDescent="0.25">
      <c r="A2821" t="s">
        <v>645</v>
      </c>
      <c r="B2821" t="s">
        <v>67</v>
      </c>
      <c r="E2821" s="3">
        <f>HYPERLINK("https://sao.dolgi.msk.ru/account/1404196032/", 1404196032)</f>
        <v>1404196032</v>
      </c>
      <c r="F2821">
        <v>-3341.52</v>
      </c>
    </row>
    <row r="2822" spans="1:6" hidden="1" x14ac:dyDescent="0.25">
      <c r="A2822" t="s">
        <v>645</v>
      </c>
      <c r="B2822" t="s">
        <v>68</v>
      </c>
      <c r="E2822" s="3">
        <f>HYPERLINK("https://sao.dolgi.msk.ru/account/1404196374/", 1404196374)</f>
        <v>1404196374</v>
      </c>
      <c r="F2822">
        <v>-2676.18</v>
      </c>
    </row>
    <row r="2823" spans="1:6" hidden="1" x14ac:dyDescent="0.25">
      <c r="A2823" t="s">
        <v>645</v>
      </c>
      <c r="B2823" t="s">
        <v>69</v>
      </c>
      <c r="E2823" s="3">
        <f>HYPERLINK("https://sao.dolgi.msk.ru/account/1404196278/", 1404196278)</f>
        <v>1404196278</v>
      </c>
      <c r="F2823">
        <v>0</v>
      </c>
    </row>
    <row r="2824" spans="1:6" hidden="1" x14ac:dyDescent="0.25">
      <c r="A2824" t="s">
        <v>645</v>
      </c>
      <c r="B2824" t="s">
        <v>70</v>
      </c>
      <c r="E2824" s="3">
        <f>HYPERLINK("https://sao.dolgi.msk.ru/account/1404195101/", 1404195101)</f>
        <v>1404195101</v>
      </c>
      <c r="F2824">
        <v>-1540.91</v>
      </c>
    </row>
    <row r="2825" spans="1:6" hidden="1" x14ac:dyDescent="0.25">
      <c r="A2825" t="s">
        <v>645</v>
      </c>
      <c r="B2825" t="s">
        <v>71</v>
      </c>
      <c r="E2825" s="3">
        <f>HYPERLINK("https://sao.dolgi.msk.ru/account/1404196147/", 1404196147)</f>
        <v>1404196147</v>
      </c>
      <c r="F2825">
        <v>-1290.24</v>
      </c>
    </row>
    <row r="2826" spans="1:6" x14ac:dyDescent="0.25">
      <c r="A2826" t="s">
        <v>645</v>
      </c>
      <c r="B2826" t="s">
        <v>72</v>
      </c>
      <c r="C2826" s="5" t="str">
        <f>" кв. "&amp;B2826</f>
        <v xml:space="preserve"> кв. 68</v>
      </c>
      <c r="D2826" s="5" t="str">
        <f>CONCATENATE(A2826,C2826)</f>
        <v>Беломорская ул., дом 20 к.1 кв. 68</v>
      </c>
      <c r="E2826" s="3">
        <f>HYPERLINK("https://sao.dolgi.msk.ru/account/1404195902/", 1404195902)</f>
        <v>1404195902</v>
      </c>
      <c r="F2826">
        <v>2334.29</v>
      </c>
    </row>
    <row r="2827" spans="1:6" hidden="1" x14ac:dyDescent="0.25">
      <c r="A2827" t="s">
        <v>645</v>
      </c>
      <c r="B2827" t="s">
        <v>73</v>
      </c>
      <c r="E2827" s="3">
        <f>HYPERLINK("https://sao.dolgi.msk.ru/account/1404195929/", 1404195929)</f>
        <v>1404195929</v>
      </c>
      <c r="F2827">
        <v>-1742.51</v>
      </c>
    </row>
    <row r="2828" spans="1:6" x14ac:dyDescent="0.25">
      <c r="A2828" t="s">
        <v>645</v>
      </c>
      <c r="B2828" t="s">
        <v>74</v>
      </c>
      <c r="C2828" s="5" t="str">
        <f>" кв. "&amp;B2828</f>
        <v xml:space="preserve"> кв. 70</v>
      </c>
      <c r="D2828" s="5" t="str">
        <f>CONCATENATE(A2828,C2828)</f>
        <v>Беломорская ул., дом 20 к.1 кв. 70</v>
      </c>
      <c r="E2828" s="3">
        <f>HYPERLINK("https://sao.dolgi.msk.ru/account/1404195451/", 1404195451)</f>
        <v>1404195451</v>
      </c>
      <c r="F2828">
        <v>1613.13</v>
      </c>
    </row>
    <row r="2829" spans="1:6" hidden="1" x14ac:dyDescent="0.25">
      <c r="A2829" t="s">
        <v>645</v>
      </c>
      <c r="B2829" t="s">
        <v>75</v>
      </c>
      <c r="E2829" s="3">
        <f>HYPERLINK("https://sao.dolgi.msk.ru/account/1404196489/", 1404196489)</f>
        <v>1404196489</v>
      </c>
      <c r="F2829">
        <v>0</v>
      </c>
    </row>
    <row r="2830" spans="1:6" hidden="1" x14ac:dyDescent="0.25">
      <c r="A2830" t="s">
        <v>645</v>
      </c>
      <c r="B2830" t="s">
        <v>76</v>
      </c>
      <c r="E2830" s="3">
        <f>HYPERLINK("https://sao.dolgi.msk.ru/account/1404197051/", 1404197051)</f>
        <v>1404197051</v>
      </c>
      <c r="F2830">
        <v>-1078.26</v>
      </c>
    </row>
    <row r="2831" spans="1:6" hidden="1" x14ac:dyDescent="0.25">
      <c r="A2831" t="s">
        <v>645</v>
      </c>
      <c r="B2831" t="s">
        <v>77</v>
      </c>
      <c r="E2831" s="3">
        <f>HYPERLINK("https://sao.dolgi.msk.ru/account/1404197078/", 1404197078)</f>
        <v>1404197078</v>
      </c>
      <c r="F2831">
        <v>-1747.13</v>
      </c>
    </row>
    <row r="2832" spans="1:6" hidden="1" x14ac:dyDescent="0.25">
      <c r="A2832" t="s">
        <v>645</v>
      </c>
      <c r="B2832" t="s">
        <v>78</v>
      </c>
      <c r="E2832" s="3">
        <f>HYPERLINK("https://sao.dolgi.msk.ru/account/1404195216/", 1404195216)</f>
        <v>1404195216</v>
      </c>
      <c r="F2832">
        <v>-1447.66</v>
      </c>
    </row>
    <row r="2833" spans="1:6" hidden="1" x14ac:dyDescent="0.25">
      <c r="A2833" t="s">
        <v>645</v>
      </c>
      <c r="B2833" t="s">
        <v>79</v>
      </c>
      <c r="E2833" s="3">
        <f>HYPERLINK("https://sao.dolgi.msk.ru/account/1404196112/", 1404196112)</f>
        <v>1404196112</v>
      </c>
      <c r="F2833">
        <v>-2694.67</v>
      </c>
    </row>
    <row r="2834" spans="1:6" hidden="1" x14ac:dyDescent="0.25">
      <c r="A2834" t="s">
        <v>645</v>
      </c>
      <c r="B2834" t="s">
        <v>80</v>
      </c>
      <c r="E2834" s="3">
        <f>HYPERLINK("https://sao.dolgi.msk.ru/account/1404196446/", 1404196446)</f>
        <v>1404196446</v>
      </c>
      <c r="F2834">
        <v>-1710.17</v>
      </c>
    </row>
    <row r="2835" spans="1:6" hidden="1" x14ac:dyDescent="0.25">
      <c r="A2835" t="s">
        <v>645</v>
      </c>
      <c r="B2835" t="s">
        <v>81</v>
      </c>
      <c r="E2835" s="3">
        <f>HYPERLINK("https://sao.dolgi.msk.ru/account/1404196518/", 1404196518)</f>
        <v>1404196518</v>
      </c>
      <c r="F2835">
        <v>-899.49</v>
      </c>
    </row>
    <row r="2836" spans="1:6" x14ac:dyDescent="0.25">
      <c r="A2836" t="s">
        <v>645</v>
      </c>
      <c r="B2836" t="s">
        <v>82</v>
      </c>
      <c r="C2836" s="5" t="str">
        <f t="shared" ref="C2836:C2838" si="121">" кв. "&amp;B2836</f>
        <v xml:space="preserve"> кв. 78</v>
      </c>
      <c r="D2836" s="5" t="str">
        <f>CONCATENATE(A2836,C2836)</f>
        <v>Беломорская ул., дом 20 к.1 кв. 78</v>
      </c>
      <c r="E2836" s="3">
        <f>HYPERLINK("https://sao.dolgi.msk.ru/account/1404195152/", 1404195152)</f>
        <v>1404195152</v>
      </c>
      <c r="F2836">
        <v>1619.46</v>
      </c>
    </row>
    <row r="2837" spans="1:6" x14ac:dyDescent="0.25">
      <c r="A2837" t="s">
        <v>645</v>
      </c>
      <c r="B2837" t="s">
        <v>83</v>
      </c>
      <c r="C2837" s="5" t="str">
        <f t="shared" si="121"/>
        <v xml:space="preserve"> кв. 79</v>
      </c>
      <c r="D2837" s="5" t="str">
        <f>CONCATENATE(A2837,C2837)</f>
        <v>Беломорская ул., дом 20 к.1 кв. 79</v>
      </c>
      <c r="E2837" s="3">
        <f>HYPERLINK("https://sao.dolgi.msk.ru/account/1404195179/", 1404195179)</f>
        <v>1404195179</v>
      </c>
      <c r="F2837">
        <v>1383.02</v>
      </c>
    </row>
    <row r="2838" spans="1:6" x14ac:dyDescent="0.25">
      <c r="A2838" t="s">
        <v>645</v>
      </c>
      <c r="B2838" t="s">
        <v>84</v>
      </c>
      <c r="C2838" s="5" t="str">
        <f t="shared" si="121"/>
        <v xml:space="preserve"> кв. 80</v>
      </c>
      <c r="D2838" s="5" t="str">
        <f>CONCATENATE(A2838,C2838)</f>
        <v>Беломорская ул., дом 20 к.1 кв. 80</v>
      </c>
      <c r="E2838" s="3">
        <f>HYPERLINK("https://sao.dolgi.msk.ru/account/1404195398/", 1404195398)</f>
        <v>1404195398</v>
      </c>
      <c r="F2838">
        <v>1170.31</v>
      </c>
    </row>
    <row r="2839" spans="1:6" hidden="1" x14ac:dyDescent="0.25">
      <c r="A2839" t="s">
        <v>645</v>
      </c>
      <c r="B2839" t="s">
        <v>85</v>
      </c>
      <c r="E2839" s="3">
        <f>HYPERLINK("https://sao.dolgi.msk.ru/account/1404196227/", 1404196227)</f>
        <v>1404196227</v>
      </c>
      <c r="F2839">
        <v>-1742.51</v>
      </c>
    </row>
    <row r="2840" spans="1:6" hidden="1" x14ac:dyDescent="0.25">
      <c r="A2840" t="s">
        <v>645</v>
      </c>
      <c r="B2840" t="s">
        <v>86</v>
      </c>
      <c r="E2840" s="3">
        <f>HYPERLINK("https://sao.dolgi.msk.ru/account/1404196059/", 1404196059)</f>
        <v>1404196059</v>
      </c>
      <c r="F2840">
        <v>-1455.5</v>
      </c>
    </row>
    <row r="2841" spans="1:6" hidden="1" x14ac:dyDescent="0.25">
      <c r="A2841" t="s">
        <v>645</v>
      </c>
      <c r="B2841" t="s">
        <v>87</v>
      </c>
      <c r="E2841" s="3">
        <f>HYPERLINK("https://sao.dolgi.msk.ru/account/1404195515/", 1404195515)</f>
        <v>1404195515</v>
      </c>
      <c r="F2841">
        <v>-2490.54</v>
      </c>
    </row>
    <row r="2842" spans="1:6" hidden="1" x14ac:dyDescent="0.25">
      <c r="A2842" t="s">
        <v>645</v>
      </c>
      <c r="B2842" t="s">
        <v>88</v>
      </c>
      <c r="E2842" s="3">
        <f>HYPERLINK("https://sao.dolgi.msk.ru/account/1404196235/", 1404196235)</f>
        <v>1404196235</v>
      </c>
      <c r="F2842">
        <v>0</v>
      </c>
    </row>
    <row r="2843" spans="1:6" x14ac:dyDescent="0.25">
      <c r="A2843" t="s">
        <v>645</v>
      </c>
      <c r="B2843" t="s">
        <v>88</v>
      </c>
      <c r="C2843" s="5" t="str">
        <f>" кв. "&amp;B2843</f>
        <v xml:space="preserve"> кв. 84</v>
      </c>
      <c r="D2843" s="5" t="str">
        <f>CONCATENATE(A2843,C2843)</f>
        <v>Беломорская ул., дом 20 к.1 кв. 84</v>
      </c>
      <c r="E2843" s="3">
        <f>HYPERLINK("https://sao.dolgi.msk.ru/account/1404196833/", 1404196833)</f>
        <v>1404196833</v>
      </c>
      <c r="F2843">
        <v>389.58</v>
      </c>
    </row>
    <row r="2844" spans="1:6" hidden="1" x14ac:dyDescent="0.25">
      <c r="A2844" t="s">
        <v>645</v>
      </c>
      <c r="B2844" t="s">
        <v>88</v>
      </c>
      <c r="E2844" s="3">
        <f>HYPERLINK("https://sao.dolgi.msk.ru/account/1404197174/", 1404197174)</f>
        <v>1404197174</v>
      </c>
      <c r="F2844">
        <v>0</v>
      </c>
    </row>
    <row r="2845" spans="1:6" hidden="1" x14ac:dyDescent="0.25">
      <c r="A2845" t="s">
        <v>645</v>
      </c>
      <c r="B2845" t="s">
        <v>89</v>
      </c>
      <c r="E2845" s="3">
        <f>HYPERLINK("https://sao.dolgi.msk.ru/account/1404195822/", 1404195822)</f>
        <v>1404195822</v>
      </c>
      <c r="F2845">
        <v>-1737.89</v>
      </c>
    </row>
    <row r="2846" spans="1:6" hidden="1" x14ac:dyDescent="0.25">
      <c r="A2846" t="s">
        <v>645</v>
      </c>
      <c r="B2846" t="s">
        <v>90</v>
      </c>
      <c r="E2846" s="3">
        <f>HYPERLINK("https://sao.dolgi.msk.ru/account/1404195523/", 1404195523)</f>
        <v>1404195523</v>
      </c>
      <c r="F2846">
        <v>-2343.38</v>
      </c>
    </row>
    <row r="2847" spans="1:6" hidden="1" x14ac:dyDescent="0.25">
      <c r="A2847" t="s">
        <v>645</v>
      </c>
      <c r="B2847" t="s">
        <v>91</v>
      </c>
      <c r="E2847" s="3">
        <f>HYPERLINK("https://sao.dolgi.msk.ru/account/1404195486/", 1404195486)</f>
        <v>1404195486</v>
      </c>
      <c r="F2847">
        <v>-2708.54</v>
      </c>
    </row>
    <row r="2848" spans="1:6" hidden="1" x14ac:dyDescent="0.25">
      <c r="A2848" t="s">
        <v>645</v>
      </c>
      <c r="B2848" t="s">
        <v>92</v>
      </c>
      <c r="E2848" s="3">
        <f>HYPERLINK("https://sao.dolgi.msk.ru/account/1404196358/", 1404196358)</f>
        <v>1404196358</v>
      </c>
      <c r="F2848">
        <v>-3406.47</v>
      </c>
    </row>
    <row r="2849" spans="1:6" hidden="1" x14ac:dyDescent="0.25">
      <c r="A2849" t="s">
        <v>645</v>
      </c>
      <c r="B2849" t="s">
        <v>93</v>
      </c>
      <c r="E2849" s="3">
        <f>HYPERLINK("https://sao.dolgi.msk.ru/account/1404195531/", 1404195531)</f>
        <v>1404195531</v>
      </c>
      <c r="F2849">
        <v>-975.25</v>
      </c>
    </row>
    <row r="2850" spans="1:6" hidden="1" x14ac:dyDescent="0.25">
      <c r="A2850" t="s">
        <v>645</v>
      </c>
      <c r="B2850" t="s">
        <v>94</v>
      </c>
      <c r="E2850" s="3">
        <f>HYPERLINK("https://sao.dolgi.msk.ru/account/1404196067/", 1404196067)</f>
        <v>1404196067</v>
      </c>
      <c r="F2850">
        <v>0</v>
      </c>
    </row>
    <row r="2851" spans="1:6" hidden="1" x14ac:dyDescent="0.25">
      <c r="A2851" t="s">
        <v>645</v>
      </c>
      <c r="B2851" t="s">
        <v>95</v>
      </c>
      <c r="E2851" s="3">
        <f>HYPERLINK("https://sao.dolgi.msk.ru/account/1404196542/", 1404196542)</f>
        <v>1404196542</v>
      </c>
      <c r="F2851">
        <v>-2703.92</v>
      </c>
    </row>
    <row r="2852" spans="1:6" hidden="1" x14ac:dyDescent="0.25">
      <c r="A2852" t="s">
        <v>645</v>
      </c>
      <c r="B2852" t="s">
        <v>96</v>
      </c>
      <c r="E2852" s="3">
        <f>HYPERLINK("https://sao.dolgi.msk.ru/account/1404196497/", 1404196497)</f>
        <v>1404196497</v>
      </c>
      <c r="F2852">
        <v>-3424.94</v>
      </c>
    </row>
    <row r="2853" spans="1:6" hidden="1" x14ac:dyDescent="0.25">
      <c r="A2853" t="s">
        <v>645</v>
      </c>
      <c r="B2853" t="s">
        <v>97</v>
      </c>
      <c r="E2853" s="3">
        <f>HYPERLINK("https://sao.dolgi.msk.ru/account/1404195689/", 1404195689)</f>
        <v>1404195689</v>
      </c>
      <c r="F2853">
        <v>-1742.51</v>
      </c>
    </row>
    <row r="2854" spans="1:6" hidden="1" x14ac:dyDescent="0.25">
      <c r="A2854" t="s">
        <v>645</v>
      </c>
      <c r="B2854" t="s">
        <v>98</v>
      </c>
      <c r="E2854" s="3">
        <f>HYPERLINK("https://sao.dolgi.msk.ru/account/1404196577/", 1404196577)</f>
        <v>1404196577</v>
      </c>
      <c r="F2854">
        <v>-3978.16</v>
      </c>
    </row>
    <row r="2855" spans="1:6" hidden="1" x14ac:dyDescent="0.25">
      <c r="A2855" t="s">
        <v>645</v>
      </c>
      <c r="B2855" t="s">
        <v>99</v>
      </c>
      <c r="E2855" s="3">
        <f>HYPERLINK("https://sao.dolgi.msk.ru/account/1404197043/", 1404197043)</f>
        <v>1404197043</v>
      </c>
      <c r="F2855">
        <v>-852.1</v>
      </c>
    </row>
    <row r="2856" spans="1:6" hidden="1" x14ac:dyDescent="0.25">
      <c r="A2856" t="s">
        <v>645</v>
      </c>
      <c r="B2856" t="s">
        <v>100</v>
      </c>
      <c r="E2856" s="3">
        <f>HYPERLINK("https://sao.dolgi.msk.ru/account/1404196366/", 1404196366)</f>
        <v>1404196366</v>
      </c>
      <c r="F2856">
        <v>-2383.52</v>
      </c>
    </row>
    <row r="2857" spans="1:6" hidden="1" x14ac:dyDescent="0.25">
      <c r="A2857" t="s">
        <v>645</v>
      </c>
      <c r="B2857" t="s">
        <v>101</v>
      </c>
      <c r="E2857" s="3">
        <f>HYPERLINK("https://sao.dolgi.msk.ru/account/1404196163/", 1404196163)</f>
        <v>1404196163</v>
      </c>
      <c r="F2857">
        <v>-1471.37</v>
      </c>
    </row>
    <row r="2858" spans="1:6" hidden="1" x14ac:dyDescent="0.25">
      <c r="A2858" t="s">
        <v>645</v>
      </c>
      <c r="B2858" t="s">
        <v>102</v>
      </c>
      <c r="E2858" s="3">
        <f>HYPERLINK("https://sao.dolgi.msk.ru/account/1404195208/", 1404195208)</f>
        <v>1404195208</v>
      </c>
      <c r="F2858">
        <v>0</v>
      </c>
    </row>
    <row r="2859" spans="1:6" hidden="1" x14ac:dyDescent="0.25">
      <c r="A2859" t="s">
        <v>645</v>
      </c>
      <c r="B2859" t="s">
        <v>103</v>
      </c>
      <c r="E2859" s="3">
        <f>HYPERLINK("https://sao.dolgi.msk.ru/account/1404195726/", 1404195726)</f>
        <v>1404195726</v>
      </c>
      <c r="F2859">
        <v>-2694.67</v>
      </c>
    </row>
    <row r="2860" spans="1:6" hidden="1" x14ac:dyDescent="0.25">
      <c r="A2860" t="s">
        <v>645</v>
      </c>
      <c r="B2860" t="s">
        <v>104</v>
      </c>
      <c r="E2860" s="3">
        <f>HYPERLINK("https://sao.dolgi.msk.ru/account/1404196737/", 1404196737)</f>
        <v>1404196737</v>
      </c>
      <c r="F2860">
        <v>-2003.2</v>
      </c>
    </row>
    <row r="2861" spans="1:6" x14ac:dyDescent="0.25">
      <c r="A2861" t="s">
        <v>645</v>
      </c>
      <c r="B2861" t="s">
        <v>105</v>
      </c>
      <c r="C2861" s="5" t="str">
        <f>" кв. "&amp;B2861</f>
        <v xml:space="preserve"> кв. 101</v>
      </c>
      <c r="D2861" s="5" t="str">
        <f>CONCATENATE(A2861,C2861)</f>
        <v>Беломорская ул., дом 20 к.1 кв. 101</v>
      </c>
      <c r="E2861" s="3">
        <f>HYPERLINK("https://sao.dolgi.msk.ru/account/1404196825/", 1404196825)</f>
        <v>1404196825</v>
      </c>
      <c r="F2861">
        <v>1198.78</v>
      </c>
    </row>
    <row r="2862" spans="1:6" hidden="1" x14ac:dyDescent="0.25">
      <c r="A2862" t="s">
        <v>645</v>
      </c>
      <c r="B2862" t="s">
        <v>106</v>
      </c>
      <c r="E2862" s="3">
        <f>HYPERLINK("https://sao.dolgi.msk.ru/account/1404195961/", 1404195961)</f>
        <v>1404195961</v>
      </c>
      <c r="F2862">
        <v>-2371.12</v>
      </c>
    </row>
    <row r="2863" spans="1:6" hidden="1" x14ac:dyDescent="0.25">
      <c r="A2863" t="s">
        <v>645</v>
      </c>
      <c r="B2863" t="s">
        <v>107</v>
      </c>
      <c r="E2863" s="3">
        <f>HYPERLINK("https://sao.dolgi.msk.ru/account/1404197203/", 1404197203)</f>
        <v>1404197203</v>
      </c>
      <c r="F2863">
        <v>-1778.74</v>
      </c>
    </row>
    <row r="2864" spans="1:6" hidden="1" x14ac:dyDescent="0.25">
      <c r="A2864" t="s">
        <v>645</v>
      </c>
      <c r="B2864" t="s">
        <v>108</v>
      </c>
      <c r="E2864" s="3">
        <f>HYPERLINK("https://sao.dolgi.msk.ru/account/1404195267/", 1404195267)</f>
        <v>1404195267</v>
      </c>
      <c r="F2864">
        <v>-2648.45</v>
      </c>
    </row>
    <row r="2865" spans="1:6" hidden="1" x14ac:dyDescent="0.25">
      <c r="A2865" t="s">
        <v>645</v>
      </c>
      <c r="B2865" t="s">
        <v>109</v>
      </c>
      <c r="E2865" s="3">
        <f>HYPERLINK("https://sao.dolgi.msk.ru/account/1404196323/", 1404196323)</f>
        <v>1404196323</v>
      </c>
      <c r="F2865">
        <v>-1751.76</v>
      </c>
    </row>
    <row r="2866" spans="1:6" hidden="1" x14ac:dyDescent="0.25">
      <c r="A2866" t="s">
        <v>645</v>
      </c>
      <c r="B2866" t="s">
        <v>110</v>
      </c>
      <c r="E2866" s="3">
        <f>HYPERLINK("https://sao.dolgi.msk.ru/account/1404195953/", 1404195953)</f>
        <v>1404195953</v>
      </c>
      <c r="F2866">
        <v>0</v>
      </c>
    </row>
    <row r="2867" spans="1:6" hidden="1" x14ac:dyDescent="0.25">
      <c r="A2867" t="s">
        <v>645</v>
      </c>
      <c r="B2867" t="s">
        <v>111</v>
      </c>
      <c r="E2867" s="3">
        <f>HYPERLINK("https://sao.dolgi.msk.ru/account/1404196083/", 1404196083)</f>
        <v>1404196083</v>
      </c>
      <c r="F2867">
        <v>0</v>
      </c>
    </row>
    <row r="2868" spans="1:6" hidden="1" x14ac:dyDescent="0.25">
      <c r="A2868" t="s">
        <v>645</v>
      </c>
      <c r="B2868" t="s">
        <v>112</v>
      </c>
      <c r="E2868" s="3">
        <f>HYPERLINK("https://sao.dolgi.msk.ru/account/1404195582/", 1404195582)</f>
        <v>1404195582</v>
      </c>
      <c r="F2868">
        <v>-2657.7</v>
      </c>
    </row>
    <row r="2869" spans="1:6" x14ac:dyDescent="0.25">
      <c r="A2869" t="s">
        <v>645</v>
      </c>
      <c r="B2869" t="s">
        <v>113</v>
      </c>
      <c r="C2869" s="5" t="str">
        <f t="shared" ref="C2869:C2871" si="122">" кв. "&amp;B2869</f>
        <v xml:space="preserve"> кв. 109</v>
      </c>
      <c r="D2869" s="5" t="str">
        <f>CONCATENATE(A2869,C2869)</f>
        <v>Беломорская ул., дом 20 к.1 кв. 109</v>
      </c>
      <c r="E2869" s="3">
        <f>HYPERLINK("https://sao.dolgi.msk.ru/account/1404196729/", 1404196729)</f>
        <v>1404196729</v>
      </c>
      <c r="F2869">
        <v>1198.78</v>
      </c>
    </row>
    <row r="2870" spans="1:6" x14ac:dyDescent="0.25">
      <c r="A2870" t="s">
        <v>645</v>
      </c>
      <c r="B2870" t="s">
        <v>114</v>
      </c>
      <c r="C2870" s="5" t="str">
        <f t="shared" si="122"/>
        <v xml:space="preserve"> кв. 110</v>
      </c>
      <c r="D2870" s="5" t="str">
        <f>CONCATENATE(A2870,C2870)</f>
        <v>Беломорская ул., дом 20 к.1 кв. 110</v>
      </c>
      <c r="E2870" s="3">
        <f>HYPERLINK("https://sao.dolgi.msk.ru/account/1404195275/", 1404195275)</f>
        <v>1404195275</v>
      </c>
      <c r="F2870">
        <v>1616.29</v>
      </c>
    </row>
    <row r="2871" spans="1:6" x14ac:dyDescent="0.25">
      <c r="A2871" t="s">
        <v>645</v>
      </c>
      <c r="B2871" t="s">
        <v>115</v>
      </c>
      <c r="C2871" s="5" t="str">
        <f t="shared" si="122"/>
        <v xml:space="preserve"> кв. 111</v>
      </c>
      <c r="D2871" s="5" t="str">
        <f>CONCATENATE(A2871,C2871)</f>
        <v>Беломорская ул., дом 20 к.1 кв. 111</v>
      </c>
      <c r="E2871" s="3">
        <f>HYPERLINK("https://sao.dolgi.msk.ru/account/1404195646/", 1404195646)</f>
        <v>1404195646</v>
      </c>
      <c r="F2871">
        <v>1850.36</v>
      </c>
    </row>
    <row r="2872" spans="1:6" hidden="1" x14ac:dyDescent="0.25">
      <c r="A2872" t="s">
        <v>645</v>
      </c>
      <c r="B2872" t="s">
        <v>116</v>
      </c>
      <c r="E2872" s="3">
        <f>HYPERLINK("https://sao.dolgi.msk.ru/account/1404195873/", 1404195873)</f>
        <v>1404195873</v>
      </c>
      <c r="F2872">
        <v>-3415.72</v>
      </c>
    </row>
    <row r="2873" spans="1:6" hidden="1" x14ac:dyDescent="0.25">
      <c r="A2873" t="s">
        <v>645</v>
      </c>
      <c r="B2873" t="s">
        <v>117</v>
      </c>
      <c r="E2873" s="3">
        <f>HYPERLINK("https://sao.dolgi.msk.ru/account/1404196331/", 1404196331)</f>
        <v>1404196331</v>
      </c>
      <c r="F2873">
        <v>-1467.47</v>
      </c>
    </row>
    <row r="2874" spans="1:6" hidden="1" x14ac:dyDescent="0.25">
      <c r="A2874" t="s">
        <v>645</v>
      </c>
      <c r="B2874" t="s">
        <v>118</v>
      </c>
      <c r="E2874" s="3">
        <f>HYPERLINK("https://sao.dolgi.msk.ru/account/1404195128/", 1404195128)</f>
        <v>1404195128</v>
      </c>
      <c r="F2874">
        <v>0</v>
      </c>
    </row>
    <row r="2875" spans="1:6" hidden="1" x14ac:dyDescent="0.25">
      <c r="A2875" t="s">
        <v>645</v>
      </c>
      <c r="B2875" t="s">
        <v>119</v>
      </c>
      <c r="E2875" s="3">
        <f>HYPERLINK("https://sao.dolgi.msk.ru/account/1404195312/", 1404195312)</f>
        <v>1404195312</v>
      </c>
      <c r="F2875">
        <v>-2703.92</v>
      </c>
    </row>
    <row r="2876" spans="1:6" hidden="1" x14ac:dyDescent="0.25">
      <c r="A2876" t="s">
        <v>645</v>
      </c>
      <c r="B2876" t="s">
        <v>120</v>
      </c>
      <c r="E2876" s="3">
        <f>HYPERLINK("https://sao.dolgi.msk.ru/account/1404195662/", 1404195662)</f>
        <v>1404195662</v>
      </c>
      <c r="F2876">
        <v>-3420.34</v>
      </c>
    </row>
    <row r="2877" spans="1:6" hidden="1" x14ac:dyDescent="0.25">
      <c r="A2877" t="s">
        <v>645</v>
      </c>
      <c r="B2877" t="s">
        <v>121</v>
      </c>
      <c r="E2877" s="3">
        <f>HYPERLINK("https://sao.dolgi.msk.ru/account/1404195849/", 1404195849)</f>
        <v>1404195849</v>
      </c>
      <c r="F2877">
        <v>0</v>
      </c>
    </row>
    <row r="2878" spans="1:6" hidden="1" x14ac:dyDescent="0.25">
      <c r="A2878" t="s">
        <v>645</v>
      </c>
      <c r="B2878" t="s">
        <v>122</v>
      </c>
      <c r="E2878" s="3">
        <f>HYPERLINK("https://sao.dolgi.msk.ru/account/1404195611/", 1404195611)</f>
        <v>1404195611</v>
      </c>
      <c r="F2878">
        <v>-2366.5</v>
      </c>
    </row>
    <row r="2879" spans="1:6" hidden="1" x14ac:dyDescent="0.25">
      <c r="A2879" t="s">
        <v>645</v>
      </c>
      <c r="B2879" t="s">
        <v>123</v>
      </c>
      <c r="E2879" s="3">
        <f>HYPERLINK("https://sao.dolgi.msk.ru/account/1404195259/", 1404195259)</f>
        <v>1404195259</v>
      </c>
      <c r="F2879">
        <v>-1927.41</v>
      </c>
    </row>
    <row r="2880" spans="1:6" hidden="1" x14ac:dyDescent="0.25">
      <c r="A2880" t="s">
        <v>645</v>
      </c>
      <c r="B2880" t="s">
        <v>124</v>
      </c>
      <c r="E2880" s="3">
        <f>HYPERLINK("https://sao.dolgi.msk.ru/account/1404196104/", 1404196104)</f>
        <v>1404196104</v>
      </c>
      <c r="F2880">
        <v>-2880.48</v>
      </c>
    </row>
    <row r="2881" spans="1:6" x14ac:dyDescent="0.25">
      <c r="A2881" t="s">
        <v>645</v>
      </c>
      <c r="B2881" t="s">
        <v>125</v>
      </c>
      <c r="C2881" s="5" t="str">
        <f>" кв. "&amp;B2881</f>
        <v xml:space="preserve"> кв. 121</v>
      </c>
      <c r="D2881" s="5" t="str">
        <f>CONCATENATE(A2881,C2881)</f>
        <v>Беломорская ул., дом 20 к.1 кв. 121</v>
      </c>
      <c r="E2881" s="3">
        <f>HYPERLINK("https://sao.dolgi.msk.ru/account/1404196139/", 1404196139)</f>
        <v>1404196139</v>
      </c>
      <c r="F2881">
        <v>1195.6099999999999</v>
      </c>
    </row>
    <row r="2882" spans="1:6" hidden="1" x14ac:dyDescent="0.25">
      <c r="A2882" t="s">
        <v>645</v>
      </c>
      <c r="B2882" t="s">
        <v>126</v>
      </c>
      <c r="E2882" s="3">
        <f>HYPERLINK("https://sao.dolgi.msk.ru/account/1404195283/", 1404195283)</f>
        <v>1404195283</v>
      </c>
      <c r="F2882">
        <v>-1599.23</v>
      </c>
    </row>
    <row r="2883" spans="1:6" hidden="1" x14ac:dyDescent="0.25">
      <c r="A2883" t="s">
        <v>645</v>
      </c>
      <c r="B2883" t="s">
        <v>127</v>
      </c>
      <c r="E2883" s="3">
        <f>HYPERLINK("https://sao.dolgi.msk.ru/account/1404196913/", 1404196913)</f>
        <v>1404196913</v>
      </c>
      <c r="F2883">
        <v>-2708.54</v>
      </c>
    </row>
    <row r="2884" spans="1:6" hidden="1" x14ac:dyDescent="0.25">
      <c r="A2884" t="s">
        <v>645</v>
      </c>
      <c r="B2884" t="s">
        <v>128</v>
      </c>
      <c r="E2884" s="3">
        <f>HYPERLINK("https://sao.dolgi.msk.ru/account/1404195654/", 1404195654)</f>
        <v>1404195654</v>
      </c>
      <c r="F2884">
        <v>0</v>
      </c>
    </row>
    <row r="2885" spans="1:6" hidden="1" x14ac:dyDescent="0.25">
      <c r="A2885" t="s">
        <v>645</v>
      </c>
      <c r="B2885" t="s">
        <v>129</v>
      </c>
      <c r="E2885" s="3">
        <f>HYPERLINK("https://sao.dolgi.msk.ru/account/1404195339/", 1404195339)</f>
        <v>1404195339</v>
      </c>
      <c r="F2885">
        <v>-1237.92</v>
      </c>
    </row>
    <row r="2886" spans="1:6" hidden="1" x14ac:dyDescent="0.25">
      <c r="A2886" t="s">
        <v>645</v>
      </c>
      <c r="B2886" t="s">
        <v>130</v>
      </c>
      <c r="E2886" s="3">
        <f>HYPERLINK("https://sao.dolgi.msk.ru/account/1404195347/", 1404195347)</f>
        <v>1404195347</v>
      </c>
      <c r="F2886">
        <v>-1724.04</v>
      </c>
    </row>
    <row r="2887" spans="1:6" hidden="1" x14ac:dyDescent="0.25">
      <c r="A2887" t="s">
        <v>645</v>
      </c>
      <c r="B2887" t="s">
        <v>131</v>
      </c>
      <c r="E2887" s="3">
        <f>HYPERLINK("https://sao.dolgi.msk.ru/account/1404195355/", 1404195355)</f>
        <v>1404195355</v>
      </c>
      <c r="F2887">
        <v>0</v>
      </c>
    </row>
    <row r="2888" spans="1:6" hidden="1" x14ac:dyDescent="0.25">
      <c r="A2888" t="s">
        <v>645</v>
      </c>
      <c r="B2888" t="s">
        <v>132</v>
      </c>
      <c r="E2888" s="3">
        <f>HYPERLINK("https://sao.dolgi.msk.ru/account/1404195603/", 1404195603)</f>
        <v>1404195603</v>
      </c>
      <c r="F2888">
        <v>-2657.69</v>
      </c>
    </row>
    <row r="2889" spans="1:6" x14ac:dyDescent="0.25">
      <c r="A2889" t="s">
        <v>645</v>
      </c>
      <c r="B2889" t="s">
        <v>133</v>
      </c>
      <c r="C2889" s="5" t="str">
        <f>" кв. "&amp;B2889</f>
        <v xml:space="preserve"> кв. 129</v>
      </c>
      <c r="D2889" s="5" t="str">
        <f>CONCATENATE(A2889,C2889)</f>
        <v>Беломорская ул., дом 20 к.1 кв. 129</v>
      </c>
      <c r="E2889" s="3">
        <f>HYPERLINK("https://sao.dolgi.msk.ru/account/1404195187/", 1404195187)</f>
        <v>1404195187</v>
      </c>
      <c r="F2889">
        <v>1179.8</v>
      </c>
    </row>
    <row r="2890" spans="1:6" hidden="1" x14ac:dyDescent="0.25">
      <c r="A2890" t="s">
        <v>645</v>
      </c>
      <c r="B2890" t="s">
        <v>134</v>
      </c>
      <c r="E2890" s="3">
        <f>HYPERLINK("https://sao.dolgi.msk.ru/account/1404196534/", 1404196534)</f>
        <v>1404196534</v>
      </c>
      <c r="F2890">
        <v>-1719.42</v>
      </c>
    </row>
    <row r="2891" spans="1:6" x14ac:dyDescent="0.25">
      <c r="A2891" t="s">
        <v>645</v>
      </c>
      <c r="B2891" t="s">
        <v>135</v>
      </c>
      <c r="C2891" s="5" t="str">
        <f t="shared" ref="C2891:C2892" si="123">" кв. "&amp;B2891</f>
        <v xml:space="preserve"> кв. 131</v>
      </c>
      <c r="D2891" s="5" t="str">
        <f>CONCATENATE(A2891,C2891)</f>
        <v>Беломорская ул., дом 20 к.1 кв. 131</v>
      </c>
      <c r="E2891" s="3">
        <f>HYPERLINK("https://sao.dolgi.msk.ru/account/1404197107/", 1404197107)</f>
        <v>1404197107</v>
      </c>
      <c r="F2891">
        <v>1863.01</v>
      </c>
    </row>
    <row r="2892" spans="1:6" x14ac:dyDescent="0.25">
      <c r="A2892" t="s">
        <v>645</v>
      </c>
      <c r="B2892" t="s">
        <v>136</v>
      </c>
      <c r="C2892" s="5" t="str">
        <f t="shared" si="123"/>
        <v xml:space="preserve"> кв. 132</v>
      </c>
      <c r="D2892" s="5" t="str">
        <f>CONCATENATE(A2892,C2892)</f>
        <v>Беломорская ул., дом 20 к.1 кв. 132</v>
      </c>
      <c r="E2892" s="3">
        <f>HYPERLINK("https://sao.dolgi.msk.ru/account/1404195478/", 1404195478)</f>
        <v>1404195478</v>
      </c>
      <c r="F2892">
        <v>1821.89</v>
      </c>
    </row>
    <row r="2893" spans="1:6" hidden="1" x14ac:dyDescent="0.25">
      <c r="A2893" t="s">
        <v>645</v>
      </c>
      <c r="B2893" t="s">
        <v>646</v>
      </c>
      <c r="E2893" s="3">
        <f>HYPERLINK("https://sao.dolgi.msk.ru/account/1404197115/", 1404197115)</f>
        <v>1404197115</v>
      </c>
      <c r="F2893">
        <v>-2213.9499999999998</v>
      </c>
    </row>
    <row r="2894" spans="1:6" x14ac:dyDescent="0.25">
      <c r="A2894" t="s">
        <v>645</v>
      </c>
      <c r="B2894" t="s">
        <v>138</v>
      </c>
      <c r="C2894" s="5" t="str">
        <f>" кв. "&amp;B2894</f>
        <v xml:space="preserve"> кв. 134</v>
      </c>
      <c r="D2894" s="5" t="str">
        <f>CONCATENATE(A2894,C2894)</f>
        <v>Беломорская ул., дом 20 к.1 кв. 134</v>
      </c>
      <c r="E2894" s="3">
        <f>HYPERLINK("https://sao.dolgi.msk.ru/account/1404196315/", 1404196315)</f>
        <v>1404196315</v>
      </c>
      <c r="F2894">
        <v>1176.6400000000001</v>
      </c>
    </row>
    <row r="2895" spans="1:6" hidden="1" x14ac:dyDescent="0.25">
      <c r="A2895" t="s">
        <v>645</v>
      </c>
      <c r="B2895" t="s">
        <v>140</v>
      </c>
      <c r="E2895" s="3">
        <f>HYPERLINK("https://sao.dolgi.msk.ru/account/1404196091/", 1404196091)</f>
        <v>1404196091</v>
      </c>
      <c r="F2895">
        <v>-1581.76</v>
      </c>
    </row>
    <row r="2896" spans="1:6" hidden="1" x14ac:dyDescent="0.25">
      <c r="A2896" t="s">
        <v>645</v>
      </c>
      <c r="B2896" t="s">
        <v>141</v>
      </c>
      <c r="E2896" s="3">
        <f>HYPERLINK("https://sao.dolgi.msk.ru/account/1404196892/", 1404196892)</f>
        <v>1404196892</v>
      </c>
      <c r="F2896">
        <v>0</v>
      </c>
    </row>
    <row r="2897" spans="1:6" x14ac:dyDescent="0.25">
      <c r="A2897" t="s">
        <v>645</v>
      </c>
      <c r="B2897" t="s">
        <v>142</v>
      </c>
      <c r="C2897" s="5" t="str">
        <f t="shared" ref="C2897:C2899" si="124">" кв. "&amp;B2897</f>
        <v xml:space="preserve"> кв. 138</v>
      </c>
      <c r="D2897" s="5" t="str">
        <f>CONCATENATE(A2897,C2897)</f>
        <v>Беломорская ул., дом 20 к.1 кв. 138</v>
      </c>
      <c r="E2897" s="3">
        <f>HYPERLINK("https://sao.dolgi.msk.ru/account/1404195136/", 1404195136)</f>
        <v>1404195136</v>
      </c>
      <c r="F2897">
        <v>1173.47</v>
      </c>
    </row>
    <row r="2898" spans="1:6" x14ac:dyDescent="0.25">
      <c r="A2898" t="s">
        <v>645</v>
      </c>
      <c r="B2898" t="s">
        <v>143</v>
      </c>
      <c r="C2898" s="5" t="str">
        <f t="shared" si="124"/>
        <v xml:space="preserve"> кв. 139</v>
      </c>
      <c r="D2898" s="5" t="str">
        <f>CONCATENATE(A2898,C2898)</f>
        <v>Беломорская ул., дом 20 к.1 кв. 139</v>
      </c>
      <c r="E2898" s="3">
        <f>HYPERLINK("https://sao.dolgi.msk.ru/account/1404195558/", 1404195558)</f>
        <v>1404195558</v>
      </c>
      <c r="F2898">
        <v>316.18</v>
      </c>
    </row>
    <row r="2899" spans="1:6" x14ac:dyDescent="0.25">
      <c r="A2899" t="s">
        <v>645</v>
      </c>
      <c r="B2899" t="s">
        <v>143</v>
      </c>
      <c r="C2899" s="5" t="str">
        <f t="shared" si="124"/>
        <v xml:space="preserve"> кв. 139</v>
      </c>
      <c r="D2899" s="5" t="str">
        <f>CONCATENATE(A2899,C2899)</f>
        <v>Беломорская ул., дом 20 к.1 кв. 139</v>
      </c>
      <c r="E2899" s="3">
        <f>HYPERLINK("https://sao.dolgi.msk.ru/account/1404196622/", 1404196622)</f>
        <v>1404196622</v>
      </c>
      <c r="F2899">
        <v>1227.5</v>
      </c>
    </row>
    <row r="2900" spans="1:6" hidden="1" x14ac:dyDescent="0.25">
      <c r="A2900" t="s">
        <v>645</v>
      </c>
      <c r="B2900" t="s">
        <v>144</v>
      </c>
      <c r="E2900" s="3">
        <f>HYPERLINK("https://sao.dolgi.msk.ru/account/1404196286/", 1404196286)</f>
        <v>1404196286</v>
      </c>
      <c r="F2900">
        <v>-2662.31</v>
      </c>
    </row>
    <row r="2901" spans="1:6" x14ac:dyDescent="0.25">
      <c r="A2901" t="s">
        <v>645</v>
      </c>
      <c r="B2901" t="s">
        <v>145</v>
      </c>
      <c r="C2901" s="5" t="str">
        <f>" кв. "&amp;B2901</f>
        <v xml:space="preserve"> кв. 141</v>
      </c>
      <c r="D2901" s="5" t="str">
        <f>CONCATENATE(A2901,C2901)</f>
        <v>Беломорская ул., дом 20 к.1 кв. 141</v>
      </c>
      <c r="E2901" s="3">
        <f>HYPERLINK("https://sao.dolgi.msk.ru/account/1404195427/", 1404195427)</f>
        <v>1404195427</v>
      </c>
      <c r="F2901">
        <v>1176.6400000000001</v>
      </c>
    </row>
    <row r="2902" spans="1:6" hidden="1" x14ac:dyDescent="0.25">
      <c r="A2902" t="s">
        <v>645</v>
      </c>
      <c r="B2902" t="s">
        <v>146</v>
      </c>
      <c r="E2902" s="3">
        <f>HYPERLINK("https://sao.dolgi.msk.ru/account/1404196796/", 1404196796)</f>
        <v>1404196796</v>
      </c>
      <c r="F2902">
        <v>-542.78</v>
      </c>
    </row>
    <row r="2903" spans="1:6" hidden="1" x14ac:dyDescent="0.25">
      <c r="A2903" t="s">
        <v>645</v>
      </c>
      <c r="B2903" t="s">
        <v>147</v>
      </c>
      <c r="E2903" s="3">
        <f>HYPERLINK("https://sao.dolgi.msk.ru/account/1404195742/", 1404195742)</f>
        <v>1404195742</v>
      </c>
      <c r="F2903">
        <v>-1817.82</v>
      </c>
    </row>
    <row r="2904" spans="1:6" hidden="1" x14ac:dyDescent="0.25">
      <c r="A2904" t="s">
        <v>645</v>
      </c>
      <c r="B2904" t="s">
        <v>148</v>
      </c>
      <c r="E2904" s="3">
        <f>HYPERLINK("https://sao.dolgi.msk.ru/account/1404195435/", 1404195435)</f>
        <v>1404195435</v>
      </c>
      <c r="F2904">
        <v>0</v>
      </c>
    </row>
    <row r="2905" spans="1:6" hidden="1" x14ac:dyDescent="0.25">
      <c r="A2905" t="s">
        <v>645</v>
      </c>
      <c r="B2905" t="s">
        <v>149</v>
      </c>
      <c r="E2905" s="3">
        <f>HYPERLINK("https://sao.dolgi.msk.ru/account/1404196606/", 1404196606)</f>
        <v>1404196606</v>
      </c>
      <c r="F2905">
        <v>-1714.79</v>
      </c>
    </row>
    <row r="2906" spans="1:6" hidden="1" x14ac:dyDescent="0.25">
      <c r="A2906" t="s">
        <v>645</v>
      </c>
      <c r="B2906" t="s">
        <v>150</v>
      </c>
      <c r="E2906" s="3">
        <f>HYPERLINK("https://sao.dolgi.msk.ru/account/1404196809/", 1404196809)</f>
        <v>1404196809</v>
      </c>
      <c r="F2906">
        <v>0</v>
      </c>
    </row>
    <row r="2907" spans="1:6" hidden="1" x14ac:dyDescent="0.25">
      <c r="A2907" t="s">
        <v>645</v>
      </c>
      <c r="B2907" t="s">
        <v>151</v>
      </c>
      <c r="E2907" s="3">
        <f>HYPERLINK("https://sao.dolgi.msk.ru/account/1404195291/", 1404195291)</f>
        <v>1404195291</v>
      </c>
      <c r="F2907">
        <v>0</v>
      </c>
    </row>
    <row r="2908" spans="1:6" hidden="1" x14ac:dyDescent="0.25">
      <c r="A2908" t="s">
        <v>645</v>
      </c>
      <c r="B2908" t="s">
        <v>152</v>
      </c>
      <c r="E2908" s="3">
        <f>HYPERLINK("https://sao.dolgi.msk.ru/account/1404195785/", 1404195785)</f>
        <v>1404195785</v>
      </c>
      <c r="F2908">
        <v>-2662.31</v>
      </c>
    </row>
    <row r="2909" spans="1:6" hidden="1" x14ac:dyDescent="0.25">
      <c r="A2909" t="s">
        <v>645</v>
      </c>
      <c r="B2909" t="s">
        <v>153</v>
      </c>
      <c r="E2909" s="3">
        <f>HYPERLINK("https://sao.dolgi.msk.ru/account/1404196307/", 1404196307)</f>
        <v>1404196307</v>
      </c>
      <c r="F2909">
        <v>-1714.79</v>
      </c>
    </row>
    <row r="2910" spans="1:6" hidden="1" x14ac:dyDescent="0.25">
      <c r="A2910" t="s">
        <v>645</v>
      </c>
      <c r="B2910" t="s">
        <v>154</v>
      </c>
      <c r="E2910" s="3">
        <f>HYPERLINK("https://sao.dolgi.msk.ru/account/1404195697/", 1404195697)</f>
        <v>1404195697</v>
      </c>
      <c r="F2910">
        <v>0</v>
      </c>
    </row>
    <row r="2911" spans="1:6" hidden="1" x14ac:dyDescent="0.25">
      <c r="A2911" t="s">
        <v>645</v>
      </c>
      <c r="B2911" t="s">
        <v>155</v>
      </c>
      <c r="E2911" s="3">
        <f>HYPERLINK("https://sao.dolgi.msk.ru/account/1404195996/", 1404195996)</f>
        <v>1404195996</v>
      </c>
      <c r="F2911">
        <v>0</v>
      </c>
    </row>
    <row r="2912" spans="1:6" hidden="1" x14ac:dyDescent="0.25">
      <c r="A2912" t="s">
        <v>645</v>
      </c>
      <c r="B2912" t="s">
        <v>156</v>
      </c>
      <c r="E2912" s="3">
        <f>HYPERLINK("https://sao.dolgi.msk.ru/account/1404196999/", 1404196999)</f>
        <v>1404196999</v>
      </c>
      <c r="F2912">
        <v>-1895.05</v>
      </c>
    </row>
    <row r="2913" spans="1:6" hidden="1" x14ac:dyDescent="0.25">
      <c r="A2913" t="s">
        <v>645</v>
      </c>
      <c r="B2913" t="s">
        <v>157</v>
      </c>
      <c r="E2913" s="3">
        <f>HYPERLINK("https://sao.dolgi.msk.ru/account/1404196614/", 1404196614)</f>
        <v>1404196614</v>
      </c>
      <c r="F2913">
        <v>-1511.02</v>
      </c>
    </row>
    <row r="2914" spans="1:6" hidden="1" x14ac:dyDescent="0.25">
      <c r="A2914" t="s">
        <v>645</v>
      </c>
      <c r="B2914" t="s">
        <v>158</v>
      </c>
      <c r="E2914" s="3">
        <f>HYPERLINK("https://sao.dolgi.msk.ru/account/1404196016/", 1404196016)</f>
        <v>1404196016</v>
      </c>
      <c r="F2914">
        <v>-1742.51</v>
      </c>
    </row>
    <row r="2915" spans="1:6" hidden="1" x14ac:dyDescent="0.25">
      <c r="A2915" t="s">
        <v>645</v>
      </c>
      <c r="B2915" t="s">
        <v>159</v>
      </c>
      <c r="E2915" s="3">
        <f>HYPERLINK("https://sao.dolgi.msk.ru/account/1404195224/", 1404195224)</f>
        <v>1404195224</v>
      </c>
      <c r="F2915">
        <v>0</v>
      </c>
    </row>
    <row r="2916" spans="1:6" hidden="1" x14ac:dyDescent="0.25">
      <c r="A2916" t="s">
        <v>645</v>
      </c>
      <c r="B2916" t="s">
        <v>160</v>
      </c>
      <c r="E2916" s="3">
        <f>HYPERLINK("https://sao.dolgi.msk.ru/account/1404197123/", 1404197123)</f>
        <v>1404197123</v>
      </c>
      <c r="F2916">
        <v>-419.48</v>
      </c>
    </row>
    <row r="2917" spans="1:6" hidden="1" x14ac:dyDescent="0.25">
      <c r="A2917" t="s">
        <v>645</v>
      </c>
      <c r="B2917" t="s">
        <v>161</v>
      </c>
      <c r="E2917" s="3">
        <f>HYPERLINK("https://sao.dolgi.msk.ru/account/1404195232/", 1404195232)</f>
        <v>1404195232</v>
      </c>
      <c r="F2917">
        <v>-1751.76</v>
      </c>
    </row>
    <row r="2918" spans="1:6" x14ac:dyDescent="0.25">
      <c r="A2918" t="s">
        <v>645</v>
      </c>
      <c r="B2918" t="s">
        <v>162</v>
      </c>
      <c r="C2918" s="5" t="str">
        <f>" кв. "&amp;B2918</f>
        <v xml:space="preserve"> кв. 158</v>
      </c>
      <c r="D2918" s="5" t="str">
        <f>CONCATENATE(A2918,C2918)</f>
        <v>Беломорская ул., дом 20 к.1 кв. 158</v>
      </c>
      <c r="E2918" s="3">
        <f>HYPERLINK("https://sao.dolgi.msk.ru/account/1404197131/", 1404197131)</f>
        <v>1404197131</v>
      </c>
      <c r="F2918">
        <v>1198.78</v>
      </c>
    </row>
    <row r="2919" spans="1:6" hidden="1" x14ac:dyDescent="0.25">
      <c r="A2919" t="s">
        <v>645</v>
      </c>
      <c r="B2919" t="s">
        <v>163</v>
      </c>
      <c r="E2919" s="3">
        <f>HYPERLINK("https://sao.dolgi.msk.ru/account/1404196075/", 1404196075)</f>
        <v>1404196075</v>
      </c>
      <c r="F2919">
        <v>-2713.16</v>
      </c>
    </row>
    <row r="2920" spans="1:6" x14ac:dyDescent="0.25">
      <c r="A2920" t="s">
        <v>645</v>
      </c>
      <c r="B2920" t="s">
        <v>164</v>
      </c>
      <c r="C2920" s="5" t="str">
        <f>" кв. "&amp;B2920</f>
        <v xml:space="preserve"> кв. 160</v>
      </c>
      <c r="D2920" s="5" t="str">
        <f>CONCATENATE(A2920,C2920)</f>
        <v>Беломорская ул., дом 20 к.1 кв. 160</v>
      </c>
      <c r="E2920" s="3">
        <f>HYPERLINK("https://sao.dolgi.msk.ru/account/1404195734/", 1404195734)</f>
        <v>1404195734</v>
      </c>
      <c r="F2920">
        <v>906.2</v>
      </c>
    </row>
    <row r="2921" spans="1:6" hidden="1" x14ac:dyDescent="0.25">
      <c r="A2921" t="s">
        <v>645</v>
      </c>
      <c r="B2921" t="s">
        <v>165</v>
      </c>
      <c r="E2921" s="3">
        <f>HYPERLINK("https://sao.dolgi.msk.ru/account/1404196585/", 1404196585)</f>
        <v>1404196585</v>
      </c>
      <c r="F2921">
        <v>0</v>
      </c>
    </row>
    <row r="2922" spans="1:6" x14ac:dyDescent="0.25">
      <c r="A2922" t="s">
        <v>645</v>
      </c>
      <c r="B2922" t="s">
        <v>166</v>
      </c>
      <c r="C2922" s="5" t="str">
        <f>" кв. "&amp;B2922</f>
        <v xml:space="preserve"> кв. 162</v>
      </c>
      <c r="D2922" s="5" t="str">
        <f>CONCATENATE(A2922,C2922)</f>
        <v>Беломорская ул., дом 20 к.1 кв. 162</v>
      </c>
      <c r="E2922" s="3">
        <f>HYPERLINK("https://sao.dolgi.msk.ru/account/1404196593/", 1404196593)</f>
        <v>1404196593</v>
      </c>
      <c r="F2922">
        <v>1195.6099999999999</v>
      </c>
    </row>
    <row r="2923" spans="1:6" hidden="1" x14ac:dyDescent="0.25">
      <c r="A2923" t="s">
        <v>645</v>
      </c>
      <c r="B2923" t="s">
        <v>167</v>
      </c>
      <c r="E2923" s="3">
        <f>HYPERLINK("https://sao.dolgi.msk.ru/account/1404195072/", 1404195072)</f>
        <v>1404195072</v>
      </c>
      <c r="F2923">
        <v>-2717.78</v>
      </c>
    </row>
    <row r="2924" spans="1:6" x14ac:dyDescent="0.25">
      <c r="A2924" t="s">
        <v>645</v>
      </c>
      <c r="B2924" t="s">
        <v>168</v>
      </c>
      <c r="C2924" s="5" t="str">
        <f>" кв. "&amp;B2924</f>
        <v xml:space="preserve"> кв. 164</v>
      </c>
      <c r="D2924" s="5" t="str">
        <f>CONCATENATE(A2924,C2924)</f>
        <v>Беломорская ул., дом 20 к.1 кв. 164</v>
      </c>
      <c r="E2924" s="3">
        <f>HYPERLINK("https://sao.dolgi.msk.ru/account/1404196921/", 1404196921)</f>
        <v>1404196921</v>
      </c>
      <c r="F2924">
        <v>1815.56</v>
      </c>
    </row>
    <row r="2925" spans="1:6" hidden="1" x14ac:dyDescent="0.25">
      <c r="A2925" t="s">
        <v>645</v>
      </c>
      <c r="B2925" t="s">
        <v>169</v>
      </c>
      <c r="E2925" s="3">
        <f>HYPERLINK("https://sao.dolgi.msk.ru/account/1404195099/", 1404195099)</f>
        <v>1404195099</v>
      </c>
      <c r="F2925">
        <v>-1609.25</v>
      </c>
    </row>
    <row r="2926" spans="1:6" hidden="1" x14ac:dyDescent="0.25">
      <c r="A2926" t="s">
        <v>645</v>
      </c>
      <c r="B2926" t="s">
        <v>170</v>
      </c>
      <c r="E2926" s="3">
        <f>HYPERLINK("https://sao.dolgi.msk.ru/account/1404196008/", 1404196008)</f>
        <v>1404196008</v>
      </c>
      <c r="F2926">
        <v>-1747.13</v>
      </c>
    </row>
    <row r="2927" spans="1:6" hidden="1" x14ac:dyDescent="0.25">
      <c r="A2927" t="s">
        <v>645</v>
      </c>
      <c r="B2927" t="s">
        <v>171</v>
      </c>
      <c r="E2927" s="3">
        <f>HYPERLINK("https://sao.dolgi.msk.ru/account/1404195806/", 1404195806)</f>
        <v>1404195806</v>
      </c>
      <c r="F2927">
        <v>-1144.4000000000001</v>
      </c>
    </row>
    <row r="2928" spans="1:6" hidden="1" x14ac:dyDescent="0.25">
      <c r="A2928" t="s">
        <v>645</v>
      </c>
      <c r="B2928" t="s">
        <v>171</v>
      </c>
      <c r="E2928" s="3">
        <f>HYPERLINK("https://sao.dolgi.msk.ru/account/1404196841/", 1404196841)</f>
        <v>1404196841</v>
      </c>
      <c r="F2928">
        <v>-679.44</v>
      </c>
    </row>
    <row r="2929" spans="1:6" x14ac:dyDescent="0.25">
      <c r="A2929" t="s">
        <v>645</v>
      </c>
      <c r="B2929" t="s">
        <v>172</v>
      </c>
      <c r="C2929" s="5" t="str">
        <f t="shared" ref="C2929:C2931" si="125">" кв. "&amp;B2929</f>
        <v xml:space="preserve"> кв. 168</v>
      </c>
      <c r="D2929" s="5" t="str">
        <f>CONCATENATE(A2929,C2929)</f>
        <v>Беломорская ул., дом 20 к.1 кв. 168</v>
      </c>
      <c r="E2929" s="3">
        <f>HYPERLINK("https://sao.dolgi.msk.ru/account/1404197094/", 1404197094)</f>
        <v>1404197094</v>
      </c>
      <c r="F2929">
        <v>1825.05</v>
      </c>
    </row>
    <row r="2930" spans="1:6" x14ac:dyDescent="0.25">
      <c r="A2930" t="s">
        <v>645</v>
      </c>
      <c r="B2930" t="s">
        <v>173</v>
      </c>
      <c r="C2930" s="5" t="str">
        <f t="shared" si="125"/>
        <v xml:space="preserve"> кв. 169</v>
      </c>
      <c r="D2930" s="5" t="str">
        <f>CONCATENATE(A2930,C2930)</f>
        <v>Беломорская ул., дом 20 к.1 кв. 169</v>
      </c>
      <c r="E2930" s="3">
        <f>HYPERLINK("https://sao.dolgi.msk.ru/account/1404195793/", 1404195793)</f>
        <v>1404195793</v>
      </c>
      <c r="F2930">
        <v>1198.78</v>
      </c>
    </row>
    <row r="2931" spans="1:6" x14ac:dyDescent="0.25">
      <c r="A2931" t="s">
        <v>645</v>
      </c>
      <c r="B2931" t="s">
        <v>174</v>
      </c>
      <c r="C2931" s="5" t="str">
        <f t="shared" si="125"/>
        <v xml:space="preserve"> кв. 170</v>
      </c>
      <c r="D2931" s="5" t="str">
        <f>CONCATENATE(A2931,C2931)</f>
        <v>Беломорская ул., дом 20 к.1 кв. 170</v>
      </c>
      <c r="E2931" s="3">
        <f>HYPERLINK("https://sao.dolgi.msk.ru/account/1404197158/", 1404197158)</f>
        <v>1404197158</v>
      </c>
      <c r="F2931">
        <v>1192.45</v>
      </c>
    </row>
    <row r="2932" spans="1:6" hidden="1" x14ac:dyDescent="0.25">
      <c r="A2932" t="s">
        <v>645</v>
      </c>
      <c r="B2932" t="s">
        <v>175</v>
      </c>
      <c r="E2932" s="3">
        <f>HYPERLINK("https://sao.dolgi.msk.ru/account/1404196876/", 1404196876)</f>
        <v>1404196876</v>
      </c>
      <c r="F2932">
        <v>0</v>
      </c>
    </row>
    <row r="2933" spans="1:6" hidden="1" x14ac:dyDescent="0.25">
      <c r="A2933" t="s">
        <v>647</v>
      </c>
      <c r="B2933" t="s">
        <v>5</v>
      </c>
      <c r="E2933" s="3">
        <f>HYPERLINK("https://sao.dolgi.msk.ru/account/1404198185/", 1404198185)</f>
        <v>1404198185</v>
      </c>
      <c r="F2933">
        <v>-1636.24</v>
      </c>
    </row>
    <row r="2934" spans="1:6" hidden="1" x14ac:dyDescent="0.25">
      <c r="A2934" t="s">
        <v>647</v>
      </c>
      <c r="B2934" t="s">
        <v>6</v>
      </c>
      <c r="E2934" s="3">
        <f>HYPERLINK("https://sao.dolgi.msk.ru/account/1404197377/", 1404197377)</f>
        <v>1404197377</v>
      </c>
      <c r="F2934">
        <v>-1705.55</v>
      </c>
    </row>
    <row r="2935" spans="1:6" x14ac:dyDescent="0.25">
      <c r="A2935" t="s">
        <v>647</v>
      </c>
      <c r="B2935" t="s">
        <v>7</v>
      </c>
      <c r="C2935" s="5" t="str">
        <f>" кв. "&amp;B2935</f>
        <v xml:space="preserve"> кв. 3</v>
      </c>
      <c r="D2935" s="5" t="str">
        <f>CONCATENATE(A2935,C2935)</f>
        <v>Беломорская ул., дом 20 к.2 кв. 3</v>
      </c>
      <c r="E2935" s="3">
        <f>HYPERLINK("https://sao.dolgi.msk.ru/account/1404197705/", 1404197705)</f>
        <v>1404197705</v>
      </c>
      <c r="F2935">
        <v>1163.98</v>
      </c>
    </row>
    <row r="2936" spans="1:6" hidden="1" x14ac:dyDescent="0.25">
      <c r="A2936" t="s">
        <v>647</v>
      </c>
      <c r="B2936" t="s">
        <v>8</v>
      </c>
      <c r="E2936" s="3">
        <f>HYPERLINK("https://sao.dolgi.msk.ru/account/1404197406/", 1404197406)</f>
        <v>1404197406</v>
      </c>
      <c r="F2936">
        <v>-1724.09</v>
      </c>
    </row>
    <row r="2937" spans="1:6" hidden="1" x14ac:dyDescent="0.25">
      <c r="A2937" t="s">
        <v>647</v>
      </c>
      <c r="B2937" t="s">
        <v>9</v>
      </c>
      <c r="E2937" s="3">
        <f>HYPERLINK("https://sao.dolgi.msk.ru/account/1404198476/", 1404198476)</f>
        <v>1404198476</v>
      </c>
      <c r="F2937">
        <v>-2300.4699999999998</v>
      </c>
    </row>
    <row r="2938" spans="1:6" x14ac:dyDescent="0.25">
      <c r="A2938" t="s">
        <v>647</v>
      </c>
      <c r="B2938" t="s">
        <v>10</v>
      </c>
      <c r="C2938" s="5" t="str">
        <f>" кв. "&amp;B2938</f>
        <v xml:space="preserve"> кв. 6</v>
      </c>
      <c r="D2938" s="5" t="str">
        <f>CONCATENATE(A2938,C2938)</f>
        <v>Беломорская ул., дом 20 к.2 кв. 6</v>
      </c>
      <c r="E2938" s="3">
        <f>HYPERLINK("https://sao.dolgi.msk.ru/account/1404197414/", 1404197414)</f>
        <v>1404197414</v>
      </c>
      <c r="F2938">
        <v>1170.31</v>
      </c>
    </row>
    <row r="2939" spans="1:6" hidden="1" x14ac:dyDescent="0.25">
      <c r="A2939" t="s">
        <v>647</v>
      </c>
      <c r="B2939" t="s">
        <v>11</v>
      </c>
      <c r="E2939" s="3">
        <f>HYPERLINK("https://sao.dolgi.msk.ru/account/1404199313/", 1404199313)</f>
        <v>1404199313</v>
      </c>
      <c r="F2939">
        <v>0</v>
      </c>
    </row>
    <row r="2940" spans="1:6" hidden="1" x14ac:dyDescent="0.25">
      <c r="A2940" t="s">
        <v>647</v>
      </c>
      <c r="B2940" t="s">
        <v>12</v>
      </c>
      <c r="E2940" s="3">
        <f>HYPERLINK("https://sao.dolgi.msk.ru/account/1404197238/", 1404197238)</f>
        <v>1404197238</v>
      </c>
      <c r="F2940">
        <v>-2456.4499999999998</v>
      </c>
    </row>
    <row r="2941" spans="1:6" hidden="1" x14ac:dyDescent="0.25">
      <c r="A2941" t="s">
        <v>647</v>
      </c>
      <c r="B2941" t="s">
        <v>13</v>
      </c>
      <c r="E2941" s="3">
        <f>HYPERLINK("https://sao.dolgi.msk.ru/account/1404198695/", 1404198695)</f>
        <v>1404198695</v>
      </c>
      <c r="F2941">
        <v>-2745.5</v>
      </c>
    </row>
    <row r="2942" spans="1:6" x14ac:dyDescent="0.25">
      <c r="A2942" t="s">
        <v>647</v>
      </c>
      <c r="B2942" t="s">
        <v>14</v>
      </c>
      <c r="C2942" s="5" t="str">
        <f>" кв. "&amp;B2942</f>
        <v xml:space="preserve"> кв. 10</v>
      </c>
      <c r="D2942" s="5" t="str">
        <f>CONCATENATE(A2942,C2942)</f>
        <v>Беломорская ул., дом 20 к.2 кв. 10</v>
      </c>
      <c r="E2942" s="3">
        <f>HYPERLINK("https://sao.dolgi.msk.ru/account/1404198089/", 1404198089)</f>
        <v>1404198089</v>
      </c>
      <c r="F2942">
        <v>1170.31</v>
      </c>
    </row>
    <row r="2943" spans="1:6" hidden="1" x14ac:dyDescent="0.25">
      <c r="A2943" t="s">
        <v>647</v>
      </c>
      <c r="B2943" t="s">
        <v>15</v>
      </c>
      <c r="E2943" s="3">
        <f>HYPERLINK("https://sao.dolgi.msk.ru/account/1404197449/", 1404197449)</f>
        <v>1404197449</v>
      </c>
      <c r="F2943">
        <v>-1710.17</v>
      </c>
    </row>
    <row r="2944" spans="1:6" hidden="1" x14ac:dyDescent="0.25">
      <c r="A2944" t="s">
        <v>647</v>
      </c>
      <c r="B2944" t="s">
        <v>16</v>
      </c>
      <c r="E2944" s="3">
        <f>HYPERLINK("https://sao.dolgi.msk.ru/account/1404197246/", 1404197246)</f>
        <v>1404197246</v>
      </c>
      <c r="F2944">
        <v>-2680.8</v>
      </c>
    </row>
    <row r="2945" spans="1:6" hidden="1" x14ac:dyDescent="0.25">
      <c r="A2945" t="s">
        <v>647</v>
      </c>
      <c r="B2945" t="s">
        <v>17</v>
      </c>
      <c r="E2945" s="3">
        <f>HYPERLINK("https://sao.dolgi.msk.ru/account/1404197254/", 1404197254)</f>
        <v>1404197254</v>
      </c>
      <c r="F2945">
        <v>-2731.63</v>
      </c>
    </row>
    <row r="2946" spans="1:6" hidden="1" x14ac:dyDescent="0.25">
      <c r="A2946" t="s">
        <v>647</v>
      </c>
      <c r="B2946" t="s">
        <v>18</v>
      </c>
      <c r="E2946" s="3">
        <f>HYPERLINK("https://sao.dolgi.msk.ru/account/1404198214/", 1404198214)</f>
        <v>1404198214</v>
      </c>
      <c r="F2946">
        <v>-1440.25</v>
      </c>
    </row>
    <row r="2947" spans="1:6" hidden="1" x14ac:dyDescent="0.25">
      <c r="A2947" t="s">
        <v>647</v>
      </c>
      <c r="B2947" t="s">
        <v>19</v>
      </c>
      <c r="E2947" s="3">
        <f>HYPERLINK("https://sao.dolgi.msk.ru/account/1404198273/", 1404198273)</f>
        <v>1404198273</v>
      </c>
      <c r="F2947">
        <v>-1440.25</v>
      </c>
    </row>
    <row r="2948" spans="1:6" hidden="1" x14ac:dyDescent="0.25">
      <c r="A2948" t="s">
        <v>647</v>
      </c>
      <c r="B2948" t="s">
        <v>20</v>
      </c>
      <c r="E2948" s="3">
        <f>HYPERLINK("https://sao.dolgi.msk.ru/account/1404198767/", 1404198767)</f>
        <v>1404198767</v>
      </c>
      <c r="F2948">
        <v>-2671.55</v>
      </c>
    </row>
    <row r="2949" spans="1:6" x14ac:dyDescent="0.25">
      <c r="A2949" t="s">
        <v>647</v>
      </c>
      <c r="B2949" t="s">
        <v>21</v>
      </c>
      <c r="C2949" s="5" t="str">
        <f t="shared" ref="C2949:C2950" si="126">" кв. "&amp;B2949</f>
        <v xml:space="preserve"> кв. 17</v>
      </c>
      <c r="D2949" s="5" t="str">
        <f>CONCATENATE(A2949,C2949)</f>
        <v>Беломорская ул., дом 20 к.2 кв. 17</v>
      </c>
      <c r="E2949" s="3">
        <f>HYPERLINK("https://sao.dolgi.msk.ru/account/1404199145/", 1404199145)</f>
        <v>1404199145</v>
      </c>
      <c r="F2949">
        <v>1866.17</v>
      </c>
    </row>
    <row r="2950" spans="1:6" x14ac:dyDescent="0.25">
      <c r="A2950" t="s">
        <v>647</v>
      </c>
      <c r="B2950" t="s">
        <v>22</v>
      </c>
      <c r="C2950" s="5" t="str">
        <f t="shared" si="126"/>
        <v xml:space="preserve"> кв. 18</v>
      </c>
      <c r="D2950" s="5" t="str">
        <f>CONCATENATE(A2950,C2950)</f>
        <v>Беломорская ул., дом 20 к.2 кв. 18</v>
      </c>
      <c r="E2950" s="3">
        <f>HYPERLINK("https://sao.dolgi.msk.ru/account/1404198468/", 1404198468)</f>
        <v>1404198468</v>
      </c>
      <c r="F2950">
        <v>1170.31</v>
      </c>
    </row>
    <row r="2951" spans="1:6" hidden="1" x14ac:dyDescent="0.25">
      <c r="A2951" t="s">
        <v>647</v>
      </c>
      <c r="B2951" t="s">
        <v>23</v>
      </c>
      <c r="E2951" s="3">
        <f>HYPERLINK("https://sao.dolgi.msk.ru/account/1404198919/", 1404198919)</f>
        <v>1404198919</v>
      </c>
      <c r="F2951">
        <v>-706.77</v>
      </c>
    </row>
    <row r="2952" spans="1:6" hidden="1" x14ac:dyDescent="0.25">
      <c r="A2952" t="s">
        <v>647</v>
      </c>
      <c r="B2952" t="s">
        <v>24</v>
      </c>
      <c r="E2952" s="3">
        <f>HYPERLINK("https://sao.dolgi.msk.ru/account/1404199188/", 1404199188)</f>
        <v>1404199188</v>
      </c>
      <c r="F2952">
        <v>-2671.55</v>
      </c>
    </row>
    <row r="2953" spans="1:6" hidden="1" x14ac:dyDescent="0.25">
      <c r="A2953" t="s">
        <v>647</v>
      </c>
      <c r="B2953" t="s">
        <v>25</v>
      </c>
      <c r="E2953" s="3">
        <f>HYPERLINK("https://sao.dolgi.msk.ru/account/1404199209/", 1404199209)</f>
        <v>1404199209</v>
      </c>
      <c r="F2953">
        <v>-2717.78</v>
      </c>
    </row>
    <row r="2954" spans="1:6" hidden="1" x14ac:dyDescent="0.25">
      <c r="A2954" t="s">
        <v>647</v>
      </c>
      <c r="B2954" t="s">
        <v>26</v>
      </c>
      <c r="E2954" s="3">
        <f>HYPERLINK("https://sao.dolgi.msk.ru/account/1404198345/", 1404198345)</f>
        <v>1404198345</v>
      </c>
      <c r="F2954">
        <v>-1719.42</v>
      </c>
    </row>
    <row r="2955" spans="1:6" hidden="1" x14ac:dyDescent="0.25">
      <c r="A2955" t="s">
        <v>647</v>
      </c>
      <c r="B2955" t="s">
        <v>27</v>
      </c>
      <c r="E2955" s="3">
        <f>HYPERLINK("https://sao.dolgi.msk.ru/account/1404198601/", 1404198601)</f>
        <v>1404198601</v>
      </c>
      <c r="F2955">
        <v>0</v>
      </c>
    </row>
    <row r="2956" spans="1:6" hidden="1" x14ac:dyDescent="0.25">
      <c r="A2956" t="s">
        <v>647</v>
      </c>
      <c r="B2956" t="s">
        <v>28</v>
      </c>
      <c r="E2956" s="3">
        <f>HYPERLINK("https://sao.dolgi.msk.ru/account/1404199276/", 1404199276)</f>
        <v>1404199276</v>
      </c>
      <c r="F2956">
        <v>-1904.29</v>
      </c>
    </row>
    <row r="2957" spans="1:6" hidden="1" x14ac:dyDescent="0.25">
      <c r="A2957" t="s">
        <v>647</v>
      </c>
      <c r="B2957" t="s">
        <v>29</v>
      </c>
      <c r="E2957" s="3">
        <f>HYPERLINK("https://sao.dolgi.msk.ru/account/1404198126/", 1404198126)</f>
        <v>1404198126</v>
      </c>
      <c r="F2957">
        <v>-1810.4</v>
      </c>
    </row>
    <row r="2958" spans="1:6" hidden="1" x14ac:dyDescent="0.25">
      <c r="A2958" t="s">
        <v>647</v>
      </c>
      <c r="B2958" t="s">
        <v>30</v>
      </c>
      <c r="E2958" s="3">
        <f>HYPERLINK("https://sao.dolgi.msk.ru/account/1404198847/", 1404198847)</f>
        <v>1404198847</v>
      </c>
      <c r="F2958">
        <v>-918.35</v>
      </c>
    </row>
    <row r="2959" spans="1:6" hidden="1" x14ac:dyDescent="0.25">
      <c r="A2959" t="s">
        <v>647</v>
      </c>
      <c r="B2959" t="s">
        <v>31</v>
      </c>
      <c r="E2959" s="3">
        <f>HYPERLINK("https://sao.dolgi.msk.ru/account/1404198513/", 1404198513)</f>
        <v>1404198513</v>
      </c>
      <c r="F2959">
        <v>-1719.42</v>
      </c>
    </row>
    <row r="2960" spans="1:6" hidden="1" x14ac:dyDescent="0.25">
      <c r="A2960" t="s">
        <v>647</v>
      </c>
      <c r="B2960" t="s">
        <v>32</v>
      </c>
      <c r="E2960" s="3">
        <f>HYPERLINK("https://sao.dolgi.msk.ru/account/1404199225/", 1404199225)</f>
        <v>1404199225</v>
      </c>
      <c r="F2960">
        <v>0</v>
      </c>
    </row>
    <row r="2961" spans="1:6" x14ac:dyDescent="0.25">
      <c r="A2961" t="s">
        <v>647</v>
      </c>
      <c r="B2961" t="s">
        <v>33</v>
      </c>
      <c r="C2961" s="5" t="str">
        <f>" кв. "&amp;B2961</f>
        <v xml:space="preserve"> кв. 29</v>
      </c>
      <c r="D2961" s="5" t="str">
        <f>CONCATENATE(A2961,C2961)</f>
        <v>Беломорская ул., дом 20 к.2 кв. 29</v>
      </c>
      <c r="E2961" s="3">
        <f>HYPERLINK("https://sao.dolgi.msk.ru/account/1404198206/", 1404198206)</f>
        <v>1404198206</v>
      </c>
      <c r="F2961">
        <v>1866.17</v>
      </c>
    </row>
    <row r="2962" spans="1:6" hidden="1" x14ac:dyDescent="0.25">
      <c r="A2962" t="s">
        <v>647</v>
      </c>
      <c r="B2962" t="s">
        <v>34</v>
      </c>
      <c r="E2962" s="3">
        <f>HYPERLINK("https://sao.dolgi.msk.ru/account/1404197967/", 1404197967)</f>
        <v>1404197967</v>
      </c>
      <c r="F2962">
        <v>-1710.17</v>
      </c>
    </row>
    <row r="2963" spans="1:6" x14ac:dyDescent="0.25">
      <c r="A2963" t="s">
        <v>647</v>
      </c>
      <c r="B2963" t="s">
        <v>35</v>
      </c>
      <c r="C2963" s="5" t="str">
        <f>" кв. "&amp;B2963</f>
        <v xml:space="preserve"> кв. 31</v>
      </c>
      <c r="D2963" s="5" t="str">
        <f>CONCATENATE(A2963,C2963)</f>
        <v>Беломорская ул., дом 20 к.2 кв. 31</v>
      </c>
      <c r="E2963" s="3">
        <f>HYPERLINK("https://sao.dolgi.msk.ru/account/1404197422/", 1404197422)</f>
        <v>1404197422</v>
      </c>
      <c r="F2963">
        <v>1176.6400000000001</v>
      </c>
    </row>
    <row r="2964" spans="1:6" hidden="1" x14ac:dyDescent="0.25">
      <c r="A2964" t="s">
        <v>647</v>
      </c>
      <c r="B2964" t="s">
        <v>36</v>
      </c>
      <c r="E2964" s="3">
        <f>HYPERLINK("https://sao.dolgi.msk.ru/account/1404198353/", 1404198353)</f>
        <v>1404198353</v>
      </c>
      <c r="F2964">
        <v>-2676.18</v>
      </c>
    </row>
    <row r="2965" spans="1:6" x14ac:dyDescent="0.25">
      <c r="A2965" t="s">
        <v>647</v>
      </c>
      <c r="B2965" t="s">
        <v>37</v>
      </c>
      <c r="C2965" s="5" t="str">
        <f>" кв. "&amp;B2965</f>
        <v xml:space="preserve"> кв. 33</v>
      </c>
      <c r="D2965" s="5" t="str">
        <f>CONCATENATE(A2965,C2965)</f>
        <v>Беломорская ул., дом 20 к.2 кв. 33</v>
      </c>
      <c r="E2965" s="3">
        <f>HYPERLINK("https://sao.dolgi.msk.ru/account/1404198652/", 1404198652)</f>
        <v>1404198652</v>
      </c>
      <c r="F2965">
        <v>1863.01</v>
      </c>
    </row>
    <row r="2966" spans="1:6" hidden="1" x14ac:dyDescent="0.25">
      <c r="A2966" t="s">
        <v>647</v>
      </c>
      <c r="B2966" t="s">
        <v>38</v>
      </c>
      <c r="E2966" s="3">
        <f>HYPERLINK("https://sao.dolgi.msk.ru/account/1404198855/", 1404198855)</f>
        <v>1404198855</v>
      </c>
      <c r="F2966">
        <v>0</v>
      </c>
    </row>
    <row r="2967" spans="1:6" hidden="1" x14ac:dyDescent="0.25">
      <c r="A2967" t="s">
        <v>647</v>
      </c>
      <c r="B2967" t="s">
        <v>39</v>
      </c>
      <c r="E2967" s="3">
        <f>HYPERLINK("https://sao.dolgi.msk.ru/account/1404197932/", 1404197932)</f>
        <v>1404197932</v>
      </c>
      <c r="F2967">
        <v>-952.15</v>
      </c>
    </row>
    <row r="2968" spans="1:6" x14ac:dyDescent="0.25">
      <c r="A2968" t="s">
        <v>647</v>
      </c>
      <c r="B2968" t="s">
        <v>40</v>
      </c>
      <c r="C2968" s="5" t="str">
        <f>" кв. "&amp;B2968</f>
        <v xml:space="preserve"> кв. 36</v>
      </c>
      <c r="D2968" s="5" t="str">
        <f>CONCATENATE(A2968,C2968)</f>
        <v>Беломорская ул., дом 20 к.2 кв. 36</v>
      </c>
      <c r="E2968" s="3">
        <f>HYPERLINK("https://sao.dolgi.msk.ru/account/1404197801/", 1404197801)</f>
        <v>1404197801</v>
      </c>
      <c r="F2968">
        <v>297.64</v>
      </c>
    </row>
    <row r="2969" spans="1:6" hidden="1" x14ac:dyDescent="0.25">
      <c r="A2969" t="s">
        <v>647</v>
      </c>
      <c r="B2969" t="s">
        <v>41</v>
      </c>
      <c r="E2969" s="3">
        <f>HYPERLINK("https://sao.dolgi.msk.ru/account/1404197887/", 1404197887)</f>
        <v>1404197887</v>
      </c>
      <c r="F2969">
        <v>-2717.78</v>
      </c>
    </row>
    <row r="2970" spans="1:6" hidden="1" x14ac:dyDescent="0.25">
      <c r="A2970" t="s">
        <v>647</v>
      </c>
      <c r="B2970" t="s">
        <v>42</v>
      </c>
      <c r="E2970" s="3">
        <f>HYPERLINK("https://sao.dolgi.msk.ru/account/1404197473/", 1404197473)</f>
        <v>1404197473</v>
      </c>
      <c r="F2970">
        <v>-1714.79</v>
      </c>
    </row>
    <row r="2971" spans="1:6" hidden="1" x14ac:dyDescent="0.25">
      <c r="A2971" t="s">
        <v>647</v>
      </c>
      <c r="B2971" t="s">
        <v>43</v>
      </c>
      <c r="E2971" s="3">
        <f>HYPERLINK("https://sao.dolgi.msk.ru/account/1404197799/", 1404197799)</f>
        <v>1404197799</v>
      </c>
      <c r="F2971">
        <v>-952.15</v>
      </c>
    </row>
    <row r="2972" spans="1:6" hidden="1" x14ac:dyDescent="0.25">
      <c r="A2972" t="s">
        <v>647</v>
      </c>
      <c r="B2972" t="s">
        <v>44</v>
      </c>
      <c r="E2972" s="3">
        <f>HYPERLINK("https://sao.dolgi.msk.ru/account/1404197625/", 1404197625)</f>
        <v>1404197625</v>
      </c>
      <c r="F2972">
        <v>0</v>
      </c>
    </row>
    <row r="2973" spans="1:6" hidden="1" x14ac:dyDescent="0.25">
      <c r="A2973" t="s">
        <v>647</v>
      </c>
      <c r="B2973" t="s">
        <v>45</v>
      </c>
      <c r="E2973" s="3">
        <f>HYPERLINK("https://sao.dolgi.msk.ru/account/1404197924/", 1404197924)</f>
        <v>1404197924</v>
      </c>
      <c r="F2973">
        <v>-1547.12</v>
      </c>
    </row>
    <row r="2974" spans="1:6" x14ac:dyDescent="0.25">
      <c r="A2974" t="s">
        <v>647</v>
      </c>
      <c r="B2974" t="s">
        <v>46</v>
      </c>
      <c r="C2974" s="5" t="str">
        <f>" кв. "&amp;B2974</f>
        <v xml:space="preserve"> кв. 42</v>
      </c>
      <c r="D2974" s="5" t="str">
        <f>CONCATENATE(A2974,C2974)</f>
        <v>Беломорская ул., дом 20 к.2 кв. 42</v>
      </c>
      <c r="E2974" s="3">
        <f>HYPERLINK("https://sao.dolgi.msk.ru/account/1404197633/", 1404197633)</f>
        <v>1404197633</v>
      </c>
      <c r="F2974">
        <v>1176.6400000000001</v>
      </c>
    </row>
    <row r="2975" spans="1:6" hidden="1" x14ac:dyDescent="0.25">
      <c r="A2975" t="s">
        <v>647</v>
      </c>
      <c r="B2975" t="s">
        <v>47</v>
      </c>
      <c r="E2975" s="3">
        <f>HYPERLINK("https://sao.dolgi.msk.ru/account/1404199065/", 1404199065)</f>
        <v>1404199065</v>
      </c>
      <c r="F2975">
        <v>-1714.79</v>
      </c>
    </row>
    <row r="2976" spans="1:6" hidden="1" x14ac:dyDescent="0.25">
      <c r="A2976" t="s">
        <v>647</v>
      </c>
      <c r="B2976" t="s">
        <v>48</v>
      </c>
      <c r="E2976" s="3">
        <f>HYPERLINK("https://sao.dolgi.msk.ru/account/1404198978/", 1404198978)</f>
        <v>1404198978</v>
      </c>
      <c r="F2976">
        <v>0</v>
      </c>
    </row>
    <row r="2977" spans="1:6" x14ac:dyDescent="0.25">
      <c r="A2977" t="s">
        <v>647</v>
      </c>
      <c r="B2977" t="s">
        <v>49</v>
      </c>
      <c r="C2977" s="5" t="str">
        <f>" кв. "&amp;B2977</f>
        <v xml:space="preserve"> кв. 45</v>
      </c>
      <c r="D2977" s="5" t="str">
        <f>CONCATENATE(A2977,C2977)</f>
        <v>Беломорская ул., дом 20 к.2 кв. 45</v>
      </c>
      <c r="E2977" s="3">
        <f>HYPERLINK("https://sao.dolgi.msk.ru/account/1404199217/", 1404199217)</f>
        <v>1404199217</v>
      </c>
      <c r="F2977">
        <v>1863.01</v>
      </c>
    </row>
    <row r="2978" spans="1:6" hidden="1" x14ac:dyDescent="0.25">
      <c r="A2978" t="s">
        <v>647</v>
      </c>
      <c r="B2978" t="s">
        <v>50</v>
      </c>
      <c r="E2978" s="3">
        <f>HYPERLINK("https://sao.dolgi.msk.ru/account/1404198281/", 1404198281)</f>
        <v>1404198281</v>
      </c>
      <c r="F2978">
        <v>-1751.76</v>
      </c>
    </row>
    <row r="2979" spans="1:6" x14ac:dyDescent="0.25">
      <c r="A2979" t="s">
        <v>647</v>
      </c>
      <c r="B2979" t="s">
        <v>51</v>
      </c>
      <c r="C2979" s="5" t="str">
        <f>" кв. "&amp;B2979</f>
        <v xml:space="preserve"> кв. 47</v>
      </c>
      <c r="D2979" s="5" t="str">
        <f>CONCATENATE(A2979,C2979)</f>
        <v>Беломорская ул., дом 20 к.2 кв. 47</v>
      </c>
      <c r="E2979" s="3">
        <f>HYPERLINK("https://sao.dolgi.msk.ru/account/1404198791/", 1404198791)</f>
        <v>1404198791</v>
      </c>
      <c r="F2979">
        <v>673.71</v>
      </c>
    </row>
    <row r="2980" spans="1:6" hidden="1" x14ac:dyDescent="0.25">
      <c r="A2980" t="s">
        <v>647</v>
      </c>
      <c r="B2980" t="s">
        <v>52</v>
      </c>
      <c r="E2980" s="3">
        <f>HYPERLINK("https://sao.dolgi.msk.ru/account/1404197211/", 1404197211)</f>
        <v>1404197211</v>
      </c>
      <c r="F2980">
        <v>0</v>
      </c>
    </row>
    <row r="2981" spans="1:6" hidden="1" x14ac:dyDescent="0.25">
      <c r="A2981" t="s">
        <v>647</v>
      </c>
      <c r="B2981" t="s">
        <v>53</v>
      </c>
      <c r="E2981" s="3">
        <f>HYPERLINK("https://sao.dolgi.msk.ru/account/1404198804/", 1404198804)</f>
        <v>1404198804</v>
      </c>
      <c r="F2981">
        <v>0</v>
      </c>
    </row>
    <row r="2982" spans="1:6" hidden="1" x14ac:dyDescent="0.25">
      <c r="A2982" t="s">
        <v>647</v>
      </c>
      <c r="B2982" t="s">
        <v>54</v>
      </c>
      <c r="E2982" s="3">
        <f>HYPERLINK("https://sao.dolgi.msk.ru/account/1404197588/", 1404197588)</f>
        <v>1404197588</v>
      </c>
      <c r="F2982">
        <v>0</v>
      </c>
    </row>
    <row r="2983" spans="1:6" hidden="1" x14ac:dyDescent="0.25">
      <c r="A2983" t="s">
        <v>647</v>
      </c>
      <c r="B2983" t="s">
        <v>55</v>
      </c>
      <c r="E2983" s="3">
        <f>HYPERLINK("https://sao.dolgi.msk.ru/account/1404199161/", 1404199161)</f>
        <v>1404199161</v>
      </c>
      <c r="F2983">
        <v>-979.87</v>
      </c>
    </row>
    <row r="2984" spans="1:6" hidden="1" x14ac:dyDescent="0.25">
      <c r="A2984" t="s">
        <v>647</v>
      </c>
      <c r="B2984" t="s">
        <v>56</v>
      </c>
      <c r="E2984" s="3">
        <f>HYPERLINK("https://sao.dolgi.msk.ru/account/1404198839/", 1404198839)</f>
        <v>1404198839</v>
      </c>
      <c r="F2984">
        <v>0</v>
      </c>
    </row>
    <row r="2985" spans="1:6" x14ac:dyDescent="0.25">
      <c r="A2985" t="s">
        <v>647</v>
      </c>
      <c r="B2985" t="s">
        <v>57</v>
      </c>
      <c r="C2985" s="5" t="str">
        <f t="shared" ref="C2985:C2988" si="127">" кв. "&amp;B2985</f>
        <v xml:space="preserve"> кв. 53</v>
      </c>
      <c r="D2985" s="5" t="str">
        <f>CONCATENATE(A2985,C2985)</f>
        <v>Беломорская ул., дом 20 к.2 кв. 53</v>
      </c>
      <c r="E2985" s="3">
        <f>HYPERLINK("https://sao.dolgi.msk.ru/account/1404198935/", 1404198935)</f>
        <v>1404198935</v>
      </c>
      <c r="F2985">
        <v>1866.17</v>
      </c>
    </row>
    <row r="2986" spans="1:6" x14ac:dyDescent="0.25">
      <c r="A2986" t="s">
        <v>647</v>
      </c>
      <c r="B2986" t="s">
        <v>58</v>
      </c>
      <c r="C2986" s="5" t="str">
        <f t="shared" si="127"/>
        <v xml:space="preserve"> кв. 54</v>
      </c>
      <c r="D2986" s="5" t="str">
        <f>CONCATENATE(A2986,C2986)</f>
        <v>Беломорская ул., дом 20 к.2 кв. 54</v>
      </c>
      <c r="E2986" s="3">
        <f>HYPERLINK("https://sao.dolgi.msk.ru/account/1404198302/", 1404198302)</f>
        <v>1404198302</v>
      </c>
      <c r="F2986">
        <v>597.79999999999995</v>
      </c>
    </row>
    <row r="2987" spans="1:6" x14ac:dyDescent="0.25">
      <c r="A2987" t="s">
        <v>647</v>
      </c>
      <c r="B2987" t="s">
        <v>59</v>
      </c>
      <c r="C2987" s="5" t="str">
        <f t="shared" si="127"/>
        <v xml:space="preserve"> кв. 55</v>
      </c>
      <c r="D2987" s="5" t="str">
        <f>CONCATENATE(A2987,C2987)</f>
        <v>Беломорская ул., дом 20 к.2 кв. 55</v>
      </c>
      <c r="E2987" s="3">
        <f>HYPERLINK("https://sao.dolgi.msk.ru/account/1404198425/", 1404198425)</f>
        <v>1404198425</v>
      </c>
      <c r="F2987">
        <v>953.96</v>
      </c>
    </row>
    <row r="2988" spans="1:6" x14ac:dyDescent="0.25">
      <c r="A2988" t="s">
        <v>647</v>
      </c>
      <c r="B2988" t="s">
        <v>59</v>
      </c>
      <c r="C2988" s="5" t="str">
        <f t="shared" si="127"/>
        <v xml:space="preserve"> кв. 55</v>
      </c>
      <c r="D2988" s="5" t="str">
        <f>CONCATENATE(A2988,C2988)</f>
        <v>Беломорская ул., дом 20 к.2 кв. 55</v>
      </c>
      <c r="E2988" s="3">
        <f>HYPERLINK("https://sao.dolgi.msk.ru/account/1404199129/", 1404199129)</f>
        <v>1404199129</v>
      </c>
      <c r="F2988">
        <v>238.49</v>
      </c>
    </row>
    <row r="2989" spans="1:6" hidden="1" x14ac:dyDescent="0.25">
      <c r="A2989" t="s">
        <v>647</v>
      </c>
      <c r="B2989" t="s">
        <v>60</v>
      </c>
      <c r="E2989" s="3">
        <f>HYPERLINK("https://sao.dolgi.msk.ru/account/1404197369/", 1404197369)</f>
        <v>1404197369</v>
      </c>
      <c r="F2989">
        <v>-2662.31</v>
      </c>
    </row>
    <row r="2990" spans="1:6" hidden="1" x14ac:dyDescent="0.25">
      <c r="A2990" t="s">
        <v>647</v>
      </c>
      <c r="B2990" t="s">
        <v>61</v>
      </c>
      <c r="E2990" s="3">
        <f>HYPERLINK("https://sao.dolgi.msk.ru/account/1404199006/", 1404199006)</f>
        <v>1404199006</v>
      </c>
      <c r="F2990">
        <v>0</v>
      </c>
    </row>
    <row r="2991" spans="1:6" hidden="1" x14ac:dyDescent="0.25">
      <c r="A2991" t="s">
        <v>647</v>
      </c>
      <c r="B2991" t="s">
        <v>62</v>
      </c>
      <c r="E2991" s="3">
        <f>HYPERLINK("https://sao.dolgi.msk.ru/account/1404198724/", 1404198724)</f>
        <v>1404198724</v>
      </c>
      <c r="F2991">
        <v>-1463.59</v>
      </c>
    </row>
    <row r="2992" spans="1:6" hidden="1" x14ac:dyDescent="0.25">
      <c r="A2992" t="s">
        <v>647</v>
      </c>
      <c r="B2992" t="s">
        <v>63</v>
      </c>
      <c r="E2992" s="3">
        <f>HYPERLINK("https://sao.dolgi.msk.ru/account/1404197975/", 1404197975)</f>
        <v>1404197975</v>
      </c>
      <c r="F2992">
        <v>-1742.51</v>
      </c>
    </row>
    <row r="2993" spans="1:6" x14ac:dyDescent="0.25">
      <c r="A2993" t="s">
        <v>647</v>
      </c>
      <c r="B2993" t="s">
        <v>64</v>
      </c>
      <c r="C2993" s="5" t="str">
        <f>" кв. "&amp;B2993</f>
        <v xml:space="preserve"> кв. 60</v>
      </c>
      <c r="D2993" s="5" t="str">
        <f>CONCATENATE(A2993,C2993)</f>
        <v>Беломорская ул., дом 20 к.2 кв. 60</v>
      </c>
      <c r="E2993" s="3">
        <f>HYPERLINK("https://sao.dolgi.msk.ru/account/1404199292/", 1404199292)</f>
        <v>1404199292</v>
      </c>
      <c r="F2993">
        <v>971.04</v>
      </c>
    </row>
    <row r="2994" spans="1:6" hidden="1" x14ac:dyDescent="0.25">
      <c r="A2994" t="s">
        <v>647</v>
      </c>
      <c r="B2994" t="s">
        <v>65</v>
      </c>
      <c r="E2994" s="3">
        <f>HYPERLINK("https://sao.dolgi.msk.ru/account/1404197502/", 1404197502)</f>
        <v>1404197502</v>
      </c>
      <c r="F2994">
        <v>-1955.14</v>
      </c>
    </row>
    <row r="2995" spans="1:6" hidden="1" x14ac:dyDescent="0.25">
      <c r="A2995" t="s">
        <v>647</v>
      </c>
      <c r="B2995" t="s">
        <v>66</v>
      </c>
      <c r="E2995" s="3">
        <f>HYPERLINK("https://sao.dolgi.msk.ru/account/1404198361/", 1404198361)</f>
        <v>1404198361</v>
      </c>
      <c r="F2995">
        <v>0</v>
      </c>
    </row>
    <row r="2996" spans="1:6" hidden="1" x14ac:dyDescent="0.25">
      <c r="A2996" t="s">
        <v>647</v>
      </c>
      <c r="B2996" t="s">
        <v>67</v>
      </c>
      <c r="E2996" s="3">
        <f>HYPERLINK("https://sao.dolgi.msk.ru/account/1404197676/", 1404197676)</f>
        <v>1404197676</v>
      </c>
      <c r="F2996">
        <v>-1742.51</v>
      </c>
    </row>
    <row r="2997" spans="1:6" x14ac:dyDescent="0.25">
      <c r="A2997" t="s">
        <v>647</v>
      </c>
      <c r="B2997" t="s">
        <v>68</v>
      </c>
      <c r="C2997" s="5" t="str">
        <f t="shared" ref="C2997:C2998" si="128">" кв. "&amp;B2997</f>
        <v xml:space="preserve"> кв. 64</v>
      </c>
      <c r="D2997" s="5" t="str">
        <f>CONCATENATE(A2997,C2997)</f>
        <v>Беломорская ул., дом 20 к.2 кв. 64</v>
      </c>
      <c r="E2997" s="3">
        <f>HYPERLINK("https://sao.dolgi.msk.ru/account/1404198812/", 1404198812)</f>
        <v>1404198812</v>
      </c>
      <c r="F2997">
        <v>1517.41</v>
      </c>
    </row>
    <row r="2998" spans="1:6" x14ac:dyDescent="0.25">
      <c r="A2998" t="s">
        <v>647</v>
      </c>
      <c r="B2998" t="s">
        <v>69</v>
      </c>
      <c r="C2998" s="5" t="str">
        <f t="shared" si="128"/>
        <v xml:space="preserve"> кв. 65</v>
      </c>
      <c r="D2998" s="5" t="str">
        <f>CONCATENATE(A2998,C2998)</f>
        <v>Беломорская ул., дом 20 к.2 кв. 65</v>
      </c>
      <c r="E2998" s="3">
        <f>HYPERLINK("https://sao.dolgi.msk.ru/account/1404198871/", 1404198871)</f>
        <v>1404198871</v>
      </c>
      <c r="F2998">
        <v>1905.35</v>
      </c>
    </row>
    <row r="2999" spans="1:6" hidden="1" x14ac:dyDescent="0.25">
      <c r="A2999" t="s">
        <v>647</v>
      </c>
      <c r="B2999" t="s">
        <v>70</v>
      </c>
      <c r="E2999" s="3">
        <f>HYPERLINK("https://sao.dolgi.msk.ru/account/1404198951/", 1404198951)</f>
        <v>1404198951</v>
      </c>
      <c r="F2999">
        <v>-1540.91</v>
      </c>
    </row>
    <row r="3000" spans="1:6" hidden="1" x14ac:dyDescent="0.25">
      <c r="A3000" t="s">
        <v>647</v>
      </c>
      <c r="B3000" t="s">
        <v>71</v>
      </c>
      <c r="E3000" s="3">
        <f>HYPERLINK("https://sao.dolgi.msk.ru/account/1404197916/", 1404197916)</f>
        <v>1404197916</v>
      </c>
      <c r="F3000">
        <v>-961.52</v>
      </c>
    </row>
    <row r="3001" spans="1:6" hidden="1" x14ac:dyDescent="0.25">
      <c r="A3001" t="s">
        <v>647</v>
      </c>
      <c r="B3001" t="s">
        <v>72</v>
      </c>
      <c r="E3001" s="3">
        <f>HYPERLINK("https://sao.dolgi.msk.ru/account/1404197334/", 1404197334)</f>
        <v>1404197334</v>
      </c>
      <c r="F3001">
        <v>-3424.94</v>
      </c>
    </row>
    <row r="3002" spans="1:6" hidden="1" x14ac:dyDescent="0.25">
      <c r="A3002" t="s">
        <v>647</v>
      </c>
      <c r="B3002" t="s">
        <v>73</v>
      </c>
      <c r="E3002" s="3">
        <f>HYPERLINK("https://sao.dolgi.msk.ru/account/1404198388/", 1404198388)</f>
        <v>1404198388</v>
      </c>
      <c r="F3002">
        <v>-1742.51</v>
      </c>
    </row>
    <row r="3003" spans="1:6" x14ac:dyDescent="0.25">
      <c r="A3003" t="s">
        <v>647</v>
      </c>
      <c r="B3003" t="s">
        <v>74</v>
      </c>
      <c r="C3003" s="5" t="str">
        <f>" кв. "&amp;B3003</f>
        <v xml:space="preserve"> кв. 70</v>
      </c>
      <c r="D3003" s="5" t="str">
        <f>CONCATENATE(A3003,C3003)</f>
        <v>Беломорская ул., дом 20 к.2 кв. 70</v>
      </c>
      <c r="E3003" s="3">
        <f>HYPERLINK("https://sao.dolgi.msk.ru/account/1404198628/", 1404198628)</f>
        <v>1404198628</v>
      </c>
      <c r="F3003">
        <v>1613.13</v>
      </c>
    </row>
    <row r="3004" spans="1:6" hidden="1" x14ac:dyDescent="0.25">
      <c r="A3004" t="s">
        <v>647</v>
      </c>
      <c r="B3004" t="s">
        <v>75</v>
      </c>
      <c r="E3004" s="3">
        <f>HYPERLINK("https://sao.dolgi.msk.ru/account/1404198337/", 1404198337)</f>
        <v>1404198337</v>
      </c>
      <c r="F3004">
        <v>-2690.05</v>
      </c>
    </row>
    <row r="3005" spans="1:6" hidden="1" x14ac:dyDescent="0.25">
      <c r="A3005" t="s">
        <v>647</v>
      </c>
      <c r="B3005" t="s">
        <v>76</v>
      </c>
      <c r="E3005" s="3">
        <f>HYPERLINK("https://sao.dolgi.msk.ru/account/1404198636/", 1404198636)</f>
        <v>1404198636</v>
      </c>
      <c r="F3005">
        <v>-3434.19</v>
      </c>
    </row>
    <row r="3006" spans="1:6" x14ac:dyDescent="0.25">
      <c r="A3006" t="s">
        <v>647</v>
      </c>
      <c r="B3006" t="s">
        <v>77</v>
      </c>
      <c r="C3006" s="5" t="str">
        <f>" кв. "&amp;B3006</f>
        <v xml:space="preserve"> кв. 73</v>
      </c>
      <c r="D3006" s="5" t="str">
        <f>CONCATENATE(A3006,C3006)</f>
        <v>Беломорская ул., дом 20 к.2 кв. 73</v>
      </c>
      <c r="E3006" s="3">
        <f>HYPERLINK("https://sao.dolgi.msk.ru/account/1404197609/", 1404197609)</f>
        <v>1404197609</v>
      </c>
      <c r="F3006">
        <v>1186.1300000000001</v>
      </c>
    </row>
    <row r="3007" spans="1:6" hidden="1" x14ac:dyDescent="0.25">
      <c r="A3007" t="s">
        <v>647</v>
      </c>
      <c r="B3007" t="s">
        <v>78</v>
      </c>
      <c r="E3007" s="3">
        <f>HYPERLINK("https://sao.dolgi.msk.ru/account/1404199241/", 1404199241)</f>
        <v>1404199241</v>
      </c>
      <c r="F3007">
        <v>-2357.25</v>
      </c>
    </row>
    <row r="3008" spans="1:6" hidden="1" x14ac:dyDescent="0.25">
      <c r="A3008" t="s">
        <v>647</v>
      </c>
      <c r="B3008" t="s">
        <v>79</v>
      </c>
      <c r="E3008" s="3">
        <f>HYPERLINK("https://sao.dolgi.msk.ru/account/1404197385/", 1404197385)</f>
        <v>1404197385</v>
      </c>
      <c r="F3008">
        <v>-1805.25</v>
      </c>
    </row>
    <row r="3009" spans="1:6" x14ac:dyDescent="0.25">
      <c r="A3009" t="s">
        <v>647</v>
      </c>
      <c r="B3009" t="s">
        <v>80</v>
      </c>
      <c r="C3009" s="5" t="str">
        <f>" кв. "&amp;B3009</f>
        <v xml:space="preserve"> кв. 76</v>
      </c>
      <c r="D3009" s="5" t="str">
        <f>CONCATENATE(A3009,C3009)</f>
        <v>Беломорская ул., дом 20 к.2 кв. 76</v>
      </c>
      <c r="E3009" s="3">
        <f>HYPERLINK("https://sao.dolgi.msk.ru/account/1404198249/", 1404198249)</f>
        <v>1404198249</v>
      </c>
      <c r="F3009">
        <v>784.89</v>
      </c>
    </row>
    <row r="3010" spans="1:6" hidden="1" x14ac:dyDescent="0.25">
      <c r="A3010" t="s">
        <v>647</v>
      </c>
      <c r="B3010" t="s">
        <v>81</v>
      </c>
      <c r="E3010" s="3">
        <f>HYPERLINK("https://sao.dolgi.msk.ru/account/1404198257/", 1404198257)</f>
        <v>1404198257</v>
      </c>
      <c r="F3010">
        <v>-1737.89</v>
      </c>
    </row>
    <row r="3011" spans="1:6" hidden="1" x14ac:dyDescent="0.25">
      <c r="A3011" t="s">
        <v>647</v>
      </c>
      <c r="B3011" t="s">
        <v>82</v>
      </c>
      <c r="E3011" s="3">
        <f>HYPERLINK("https://sao.dolgi.msk.ru/account/1404197748/", 1404197748)</f>
        <v>1404197748</v>
      </c>
      <c r="F3011">
        <v>-2357.25</v>
      </c>
    </row>
    <row r="3012" spans="1:6" x14ac:dyDescent="0.25">
      <c r="A3012" t="s">
        <v>647</v>
      </c>
      <c r="B3012" t="s">
        <v>83</v>
      </c>
      <c r="C3012" s="5" t="str">
        <f>" кв. "&amp;B3012</f>
        <v xml:space="preserve"> кв. 79</v>
      </c>
      <c r="D3012" s="5" t="str">
        <f>CONCATENATE(A3012,C3012)</f>
        <v>Беломорская ул., дом 20 к.2 кв. 79</v>
      </c>
      <c r="E3012" s="3">
        <f>HYPERLINK("https://sao.dolgi.msk.ru/account/1404198265/", 1404198265)</f>
        <v>1404198265</v>
      </c>
      <c r="F3012">
        <v>1847.19</v>
      </c>
    </row>
    <row r="3013" spans="1:6" hidden="1" x14ac:dyDescent="0.25">
      <c r="A3013" t="s">
        <v>647</v>
      </c>
      <c r="B3013" t="s">
        <v>84</v>
      </c>
      <c r="E3013" s="3">
        <f>HYPERLINK("https://sao.dolgi.msk.ru/account/1404198484/", 1404198484)</f>
        <v>1404198484</v>
      </c>
      <c r="F3013">
        <v>-2358.58</v>
      </c>
    </row>
    <row r="3014" spans="1:6" x14ac:dyDescent="0.25">
      <c r="A3014" t="s">
        <v>647</v>
      </c>
      <c r="B3014" t="s">
        <v>85</v>
      </c>
      <c r="C3014" s="5" t="str">
        <f>" кв. "&amp;B3014</f>
        <v xml:space="preserve"> кв. 81</v>
      </c>
      <c r="D3014" s="5" t="str">
        <f>CONCATENATE(A3014,C3014)</f>
        <v>Беломорская ул., дом 20 к.2 кв. 81</v>
      </c>
      <c r="E3014" s="3">
        <f>HYPERLINK("https://sao.dolgi.msk.ru/account/1404199321/", 1404199321)</f>
        <v>1404199321</v>
      </c>
      <c r="F3014">
        <v>1195.6099999999999</v>
      </c>
    </row>
    <row r="3015" spans="1:6" hidden="1" x14ac:dyDescent="0.25">
      <c r="A3015" t="s">
        <v>647</v>
      </c>
      <c r="B3015" t="s">
        <v>86</v>
      </c>
      <c r="E3015" s="3">
        <f>HYPERLINK("https://sao.dolgi.msk.ru/account/1404198572/", 1404198572)</f>
        <v>1404198572</v>
      </c>
      <c r="F3015">
        <v>-838.02</v>
      </c>
    </row>
    <row r="3016" spans="1:6" hidden="1" x14ac:dyDescent="0.25">
      <c r="A3016" t="s">
        <v>647</v>
      </c>
      <c r="B3016" t="s">
        <v>87</v>
      </c>
      <c r="E3016" s="3">
        <f>HYPERLINK("https://sao.dolgi.msk.ru/account/1404198062/", 1404198062)</f>
        <v>1404198062</v>
      </c>
      <c r="F3016">
        <v>0</v>
      </c>
    </row>
    <row r="3017" spans="1:6" hidden="1" x14ac:dyDescent="0.25">
      <c r="A3017" t="s">
        <v>647</v>
      </c>
      <c r="B3017" t="s">
        <v>88</v>
      </c>
      <c r="E3017" s="3">
        <f>HYPERLINK("https://sao.dolgi.msk.ru/account/1404198599/", 1404198599)</f>
        <v>1404198599</v>
      </c>
      <c r="F3017">
        <v>-2880.48</v>
      </c>
    </row>
    <row r="3018" spans="1:6" x14ac:dyDescent="0.25">
      <c r="A3018" t="s">
        <v>647</v>
      </c>
      <c r="B3018" t="s">
        <v>89</v>
      </c>
      <c r="C3018" s="5" t="str">
        <f>" кв. "&amp;B3018</f>
        <v xml:space="preserve"> кв. 85</v>
      </c>
      <c r="D3018" s="5" t="str">
        <f>CONCATENATE(A3018,C3018)</f>
        <v>Беломорская ул., дом 20 к.2 кв. 85</v>
      </c>
      <c r="E3018" s="3">
        <f>HYPERLINK("https://sao.dolgi.msk.ru/account/1404197326/", 1404197326)</f>
        <v>1404197326</v>
      </c>
      <c r="F3018">
        <v>594.65</v>
      </c>
    </row>
    <row r="3019" spans="1:6" hidden="1" x14ac:dyDescent="0.25">
      <c r="A3019" t="s">
        <v>647</v>
      </c>
      <c r="B3019" t="s">
        <v>90</v>
      </c>
      <c r="E3019" s="3">
        <f>HYPERLINK("https://sao.dolgi.msk.ru/account/1404198097/", 1404198097)</f>
        <v>1404198097</v>
      </c>
      <c r="F3019">
        <v>-2348</v>
      </c>
    </row>
    <row r="3020" spans="1:6" hidden="1" x14ac:dyDescent="0.25">
      <c r="A3020" t="s">
        <v>647</v>
      </c>
      <c r="B3020" t="s">
        <v>91</v>
      </c>
      <c r="E3020" s="3">
        <f>HYPERLINK("https://sao.dolgi.msk.ru/account/1404197342/", 1404197342)</f>
        <v>1404197342</v>
      </c>
      <c r="F3020">
        <v>0</v>
      </c>
    </row>
    <row r="3021" spans="1:6" x14ac:dyDescent="0.25">
      <c r="A3021" t="s">
        <v>647</v>
      </c>
      <c r="B3021" t="s">
        <v>92</v>
      </c>
      <c r="C3021" s="5" t="str">
        <f>" кв. "&amp;B3021</f>
        <v xml:space="preserve"> кв. 88</v>
      </c>
      <c r="D3021" s="5" t="str">
        <f>CONCATENATE(A3021,C3021)</f>
        <v>Беломорская ул., дом 20 к.2 кв. 88</v>
      </c>
      <c r="E3021" s="3">
        <f>HYPERLINK("https://sao.dolgi.msk.ru/account/1404197262/", 1404197262)</f>
        <v>1404197262</v>
      </c>
      <c r="F3021">
        <v>2346.9499999999998</v>
      </c>
    </row>
    <row r="3022" spans="1:6" hidden="1" x14ac:dyDescent="0.25">
      <c r="A3022" t="s">
        <v>647</v>
      </c>
      <c r="B3022" t="s">
        <v>93</v>
      </c>
      <c r="E3022" s="3">
        <f>HYPERLINK("https://sao.dolgi.msk.ru/account/1404199268/", 1404199268)</f>
        <v>1404199268</v>
      </c>
      <c r="F3022">
        <v>-1742.51</v>
      </c>
    </row>
    <row r="3023" spans="1:6" hidden="1" x14ac:dyDescent="0.25">
      <c r="A3023" t="s">
        <v>647</v>
      </c>
      <c r="B3023" t="s">
        <v>94</v>
      </c>
      <c r="E3023" s="3">
        <f>HYPERLINK("https://sao.dolgi.msk.ru/account/1404199153/", 1404199153)</f>
        <v>1404199153</v>
      </c>
      <c r="F3023">
        <v>0</v>
      </c>
    </row>
    <row r="3024" spans="1:6" hidden="1" x14ac:dyDescent="0.25">
      <c r="A3024" t="s">
        <v>647</v>
      </c>
      <c r="B3024" t="s">
        <v>95</v>
      </c>
      <c r="E3024" s="3">
        <f>HYPERLINK("https://sao.dolgi.msk.ru/account/1404198003/", 1404198003)</f>
        <v>1404198003</v>
      </c>
      <c r="F3024">
        <v>0</v>
      </c>
    </row>
    <row r="3025" spans="1:6" x14ac:dyDescent="0.25">
      <c r="A3025" t="s">
        <v>647</v>
      </c>
      <c r="B3025" t="s">
        <v>96</v>
      </c>
      <c r="C3025" s="5" t="str">
        <f>" кв. "&amp;B3025</f>
        <v xml:space="preserve"> кв. 92</v>
      </c>
      <c r="D3025" s="5" t="str">
        <f>CONCATENATE(A3025,C3025)</f>
        <v>Беломорская ул., дом 20 к.2 кв. 92</v>
      </c>
      <c r="E3025" s="3">
        <f>HYPERLINK("https://sao.dolgi.msk.ru/account/1404198708/", 1404198708)</f>
        <v>1404198708</v>
      </c>
      <c r="F3025">
        <v>2346.9499999999998</v>
      </c>
    </row>
    <row r="3026" spans="1:6" hidden="1" x14ac:dyDescent="0.25">
      <c r="A3026" t="s">
        <v>647</v>
      </c>
      <c r="B3026" t="s">
        <v>97</v>
      </c>
      <c r="E3026" s="3">
        <f>HYPERLINK("https://sao.dolgi.msk.ru/account/1404198193/", 1404198193)</f>
        <v>1404198193</v>
      </c>
      <c r="F3026">
        <v>-1742.51</v>
      </c>
    </row>
    <row r="3027" spans="1:6" hidden="1" x14ac:dyDescent="0.25">
      <c r="A3027" t="s">
        <v>647</v>
      </c>
      <c r="B3027" t="s">
        <v>98</v>
      </c>
      <c r="E3027" s="3">
        <f>HYPERLINK("https://sao.dolgi.msk.ru/account/1404199233/", 1404199233)</f>
        <v>1404199233</v>
      </c>
      <c r="F3027">
        <v>-2352.63</v>
      </c>
    </row>
    <row r="3028" spans="1:6" hidden="1" x14ac:dyDescent="0.25">
      <c r="A3028" t="s">
        <v>647</v>
      </c>
      <c r="B3028" t="s">
        <v>99</v>
      </c>
      <c r="E3028" s="3">
        <f>HYPERLINK("https://sao.dolgi.msk.ru/account/1404198679/", 1404198679)</f>
        <v>1404198679</v>
      </c>
      <c r="F3028">
        <v>-2703.92</v>
      </c>
    </row>
    <row r="3029" spans="1:6" hidden="1" x14ac:dyDescent="0.25">
      <c r="A3029" t="s">
        <v>647</v>
      </c>
      <c r="B3029" t="s">
        <v>100</v>
      </c>
      <c r="E3029" s="3">
        <f>HYPERLINK("https://sao.dolgi.msk.ru/account/1404197617/", 1404197617)</f>
        <v>1404197617</v>
      </c>
      <c r="F3029">
        <v>-3415.72</v>
      </c>
    </row>
    <row r="3030" spans="1:6" hidden="1" x14ac:dyDescent="0.25">
      <c r="A3030" t="s">
        <v>647</v>
      </c>
      <c r="B3030" t="s">
        <v>101</v>
      </c>
      <c r="E3030" s="3">
        <f>HYPERLINK("https://sao.dolgi.msk.ru/account/1404197529/", 1404197529)</f>
        <v>1404197529</v>
      </c>
      <c r="F3030">
        <v>0</v>
      </c>
    </row>
    <row r="3031" spans="1:6" hidden="1" x14ac:dyDescent="0.25">
      <c r="A3031" t="s">
        <v>647</v>
      </c>
      <c r="B3031" t="s">
        <v>102</v>
      </c>
      <c r="E3031" s="3">
        <f>HYPERLINK("https://sao.dolgi.msk.ru/account/1404198986/", 1404198986)</f>
        <v>1404198986</v>
      </c>
      <c r="F3031">
        <v>-1461.53</v>
      </c>
    </row>
    <row r="3032" spans="1:6" hidden="1" x14ac:dyDescent="0.25">
      <c r="A3032" t="s">
        <v>647</v>
      </c>
      <c r="B3032" t="s">
        <v>103</v>
      </c>
      <c r="E3032" s="3">
        <f>HYPERLINK("https://sao.dolgi.msk.ru/account/1404198994/", 1404198994)</f>
        <v>1404198994</v>
      </c>
      <c r="F3032">
        <v>0</v>
      </c>
    </row>
    <row r="3033" spans="1:6" hidden="1" x14ac:dyDescent="0.25">
      <c r="A3033" t="s">
        <v>647</v>
      </c>
      <c r="B3033" t="s">
        <v>104</v>
      </c>
      <c r="E3033" s="3">
        <f>HYPERLINK("https://sao.dolgi.msk.ru/account/1404197684/", 1404197684)</f>
        <v>1404197684</v>
      </c>
      <c r="F3033">
        <v>-1087</v>
      </c>
    </row>
    <row r="3034" spans="1:6" x14ac:dyDescent="0.25">
      <c r="A3034" t="s">
        <v>647</v>
      </c>
      <c r="B3034" t="s">
        <v>105</v>
      </c>
      <c r="C3034" s="5" t="str">
        <f>" кв. "&amp;B3034</f>
        <v xml:space="preserve"> кв. 101</v>
      </c>
      <c r="D3034" s="5" t="str">
        <f>CONCATENATE(A3034,C3034)</f>
        <v>Беломорская ул., дом 20 к.2 кв. 101</v>
      </c>
      <c r="E3034" s="3">
        <f>HYPERLINK("https://sao.dolgi.msk.ru/account/1404199137/", 1404199137)</f>
        <v>1404199137</v>
      </c>
      <c r="F3034">
        <v>1195.6099999999999</v>
      </c>
    </row>
    <row r="3035" spans="1:6" hidden="1" x14ac:dyDescent="0.25">
      <c r="A3035" t="s">
        <v>647</v>
      </c>
      <c r="B3035" t="s">
        <v>106</v>
      </c>
      <c r="E3035" s="3">
        <f>HYPERLINK("https://sao.dolgi.msk.ru/account/1404197537/", 1404197537)</f>
        <v>1404197537</v>
      </c>
      <c r="F3035">
        <v>-1771.4</v>
      </c>
    </row>
    <row r="3036" spans="1:6" hidden="1" x14ac:dyDescent="0.25">
      <c r="A3036" t="s">
        <v>647</v>
      </c>
      <c r="B3036" t="s">
        <v>107</v>
      </c>
      <c r="E3036" s="3">
        <f>HYPERLINK("https://sao.dolgi.msk.ru/account/1404197908/", 1404197908)</f>
        <v>1404197908</v>
      </c>
      <c r="F3036">
        <v>0</v>
      </c>
    </row>
    <row r="3037" spans="1:6" hidden="1" x14ac:dyDescent="0.25">
      <c r="A3037" t="s">
        <v>647</v>
      </c>
      <c r="B3037" t="s">
        <v>108</v>
      </c>
      <c r="E3037" s="3">
        <f>HYPERLINK("https://sao.dolgi.msk.ru/account/1404197297/", 1404197297)</f>
        <v>1404197297</v>
      </c>
      <c r="F3037">
        <v>0</v>
      </c>
    </row>
    <row r="3038" spans="1:6" hidden="1" x14ac:dyDescent="0.25">
      <c r="A3038" t="s">
        <v>647</v>
      </c>
      <c r="B3038" t="s">
        <v>109</v>
      </c>
      <c r="E3038" s="3">
        <f>HYPERLINK("https://sao.dolgi.msk.ru/account/1404197545/", 1404197545)</f>
        <v>1404197545</v>
      </c>
      <c r="F3038">
        <v>-1265.6300000000001</v>
      </c>
    </row>
    <row r="3039" spans="1:6" hidden="1" x14ac:dyDescent="0.25">
      <c r="A3039" t="s">
        <v>647</v>
      </c>
      <c r="B3039" t="s">
        <v>110</v>
      </c>
      <c r="E3039" s="3">
        <f>HYPERLINK("https://sao.dolgi.msk.ru/account/1404197553/", 1404197553)</f>
        <v>1404197553</v>
      </c>
      <c r="F3039">
        <v>-2366.5</v>
      </c>
    </row>
    <row r="3040" spans="1:6" hidden="1" x14ac:dyDescent="0.25">
      <c r="A3040" t="s">
        <v>647</v>
      </c>
      <c r="B3040" t="s">
        <v>111</v>
      </c>
      <c r="E3040" s="3">
        <f>HYPERLINK("https://sao.dolgi.msk.ru/account/1404198548/", 1404198548)</f>
        <v>1404198548</v>
      </c>
      <c r="F3040">
        <v>-2694.67</v>
      </c>
    </row>
    <row r="3041" spans="1:6" x14ac:dyDescent="0.25">
      <c r="A3041" t="s">
        <v>647</v>
      </c>
      <c r="B3041" t="s">
        <v>112</v>
      </c>
      <c r="C3041" s="5" t="str">
        <f t="shared" ref="C3041:C3042" si="129">" кв. "&amp;B3041</f>
        <v xml:space="preserve"> кв. 108</v>
      </c>
      <c r="D3041" s="5" t="str">
        <f>CONCATENATE(A3041,C3041)</f>
        <v>Беломорская ул., дом 20 к.2 кв. 108</v>
      </c>
      <c r="E3041" s="3">
        <f>HYPERLINK("https://sao.dolgi.msk.ru/account/1404198556/", 1404198556)</f>
        <v>1404198556</v>
      </c>
      <c r="F3041">
        <v>2346.9499999999998</v>
      </c>
    </row>
    <row r="3042" spans="1:6" x14ac:dyDescent="0.25">
      <c r="A3042" t="s">
        <v>647</v>
      </c>
      <c r="B3042" t="s">
        <v>113</v>
      </c>
      <c r="C3042" s="5" t="str">
        <f t="shared" si="129"/>
        <v xml:space="preserve"> кв. 109</v>
      </c>
      <c r="D3042" s="5" t="str">
        <f>CONCATENATE(A3042,C3042)</f>
        <v>Беломорская ул., дом 20 к.2 кв. 109</v>
      </c>
      <c r="E3042" s="3">
        <f>HYPERLINK("https://sao.dolgi.msk.ru/account/1404198775/", 1404198775)</f>
        <v>1404198775</v>
      </c>
      <c r="F3042">
        <v>1198.78</v>
      </c>
    </row>
    <row r="3043" spans="1:6" hidden="1" x14ac:dyDescent="0.25">
      <c r="A3043" t="s">
        <v>647</v>
      </c>
      <c r="B3043" t="s">
        <v>114</v>
      </c>
      <c r="E3043" s="3">
        <f>HYPERLINK("https://sao.dolgi.msk.ru/account/1404197561/", 1404197561)</f>
        <v>1404197561</v>
      </c>
      <c r="F3043">
        <v>-2371.12</v>
      </c>
    </row>
    <row r="3044" spans="1:6" hidden="1" x14ac:dyDescent="0.25">
      <c r="A3044" t="s">
        <v>647</v>
      </c>
      <c r="B3044" t="s">
        <v>115</v>
      </c>
      <c r="E3044" s="3">
        <f>HYPERLINK("https://sao.dolgi.msk.ru/account/1404197991/", 1404197991)</f>
        <v>1404197991</v>
      </c>
      <c r="F3044">
        <v>0</v>
      </c>
    </row>
    <row r="3045" spans="1:6" hidden="1" x14ac:dyDescent="0.25">
      <c r="A3045" t="s">
        <v>647</v>
      </c>
      <c r="B3045" t="s">
        <v>116</v>
      </c>
      <c r="E3045" s="3">
        <f>HYPERLINK("https://sao.dolgi.msk.ru/account/1404198329/", 1404198329)</f>
        <v>1404198329</v>
      </c>
      <c r="F3045">
        <v>-3429.57</v>
      </c>
    </row>
    <row r="3046" spans="1:6" hidden="1" x14ac:dyDescent="0.25">
      <c r="A3046" t="s">
        <v>647</v>
      </c>
      <c r="B3046" t="s">
        <v>117</v>
      </c>
      <c r="E3046" s="3">
        <f>HYPERLINK("https://sao.dolgi.msk.ru/account/1404198863/", 1404198863)</f>
        <v>1404198863</v>
      </c>
      <c r="F3046">
        <v>-984.49</v>
      </c>
    </row>
    <row r="3047" spans="1:6" x14ac:dyDescent="0.25">
      <c r="A3047" t="s">
        <v>647</v>
      </c>
      <c r="B3047" t="s">
        <v>118</v>
      </c>
      <c r="C3047" s="5" t="str">
        <f>" кв. "&amp;B3047</f>
        <v xml:space="preserve"> кв. 114</v>
      </c>
      <c r="D3047" s="5" t="str">
        <f>CONCATENATE(A3047,C3047)</f>
        <v>Беломорская ул., дом 20 к.2 кв. 114</v>
      </c>
      <c r="E3047" s="3">
        <f>HYPERLINK("https://sao.dolgi.msk.ru/account/1404199081/", 1404199081)</f>
        <v>1404199081</v>
      </c>
      <c r="F3047">
        <v>537.71</v>
      </c>
    </row>
    <row r="3048" spans="1:6" hidden="1" x14ac:dyDescent="0.25">
      <c r="A3048" t="s">
        <v>647</v>
      </c>
      <c r="B3048" t="s">
        <v>118</v>
      </c>
      <c r="E3048" s="3">
        <f>HYPERLINK("https://sao.dolgi.msk.ru/account/1404199196/", 1404199196)</f>
        <v>1404199196</v>
      </c>
      <c r="F3048">
        <v>-1571.5</v>
      </c>
    </row>
    <row r="3049" spans="1:6" hidden="1" x14ac:dyDescent="0.25">
      <c r="A3049" t="s">
        <v>647</v>
      </c>
      <c r="B3049" t="s">
        <v>119</v>
      </c>
      <c r="E3049" s="3">
        <f>HYPERLINK("https://sao.dolgi.msk.ru/account/1404198134/", 1404198134)</f>
        <v>1404198134</v>
      </c>
      <c r="F3049">
        <v>-2699.29</v>
      </c>
    </row>
    <row r="3050" spans="1:6" hidden="1" x14ac:dyDescent="0.25">
      <c r="A3050" t="s">
        <v>647</v>
      </c>
      <c r="B3050" t="s">
        <v>120</v>
      </c>
      <c r="E3050" s="3">
        <f>HYPERLINK("https://sao.dolgi.msk.ru/account/1404197318/", 1404197318)</f>
        <v>1404197318</v>
      </c>
      <c r="F3050">
        <v>-3434.19</v>
      </c>
    </row>
    <row r="3051" spans="1:6" hidden="1" x14ac:dyDescent="0.25">
      <c r="A3051" t="s">
        <v>647</v>
      </c>
      <c r="B3051" t="s">
        <v>121</v>
      </c>
      <c r="E3051" s="3">
        <f>HYPERLINK("https://sao.dolgi.msk.ru/account/1404199022/", 1404199022)</f>
        <v>1404199022</v>
      </c>
      <c r="F3051">
        <v>-1756.38</v>
      </c>
    </row>
    <row r="3052" spans="1:6" hidden="1" x14ac:dyDescent="0.25">
      <c r="A3052" t="s">
        <v>647</v>
      </c>
      <c r="B3052" t="s">
        <v>122</v>
      </c>
      <c r="E3052" s="3">
        <f>HYPERLINK("https://sao.dolgi.msk.ru/account/1404197756/", 1404197756)</f>
        <v>1404197756</v>
      </c>
      <c r="F3052">
        <v>-2361.87</v>
      </c>
    </row>
    <row r="3053" spans="1:6" x14ac:dyDescent="0.25">
      <c r="A3053" t="s">
        <v>647</v>
      </c>
      <c r="B3053" t="s">
        <v>123</v>
      </c>
      <c r="C3053" s="5" t="str">
        <f t="shared" ref="C3053:C3055" si="130">" кв. "&amp;B3053</f>
        <v xml:space="preserve"> кв. 119</v>
      </c>
      <c r="D3053" s="5" t="str">
        <f>CONCATENATE(A3053,C3053)</f>
        <v>Беломорская ул., дом 20 к.2 кв. 119</v>
      </c>
      <c r="E3053" s="3">
        <f>HYPERLINK("https://sao.dolgi.msk.ru/account/1404197764/", 1404197764)</f>
        <v>1404197764</v>
      </c>
      <c r="F3053">
        <v>615.73</v>
      </c>
    </row>
    <row r="3054" spans="1:6" x14ac:dyDescent="0.25">
      <c r="A3054" t="s">
        <v>647</v>
      </c>
      <c r="B3054" t="s">
        <v>123</v>
      </c>
      <c r="C3054" s="5" t="str">
        <f t="shared" si="130"/>
        <v xml:space="preserve"> кв. 119</v>
      </c>
      <c r="D3054" s="5" t="str">
        <f>CONCATENATE(A3054,C3054)</f>
        <v>Беломорская ул., дом 20 к.2 кв. 119</v>
      </c>
      <c r="E3054" s="3">
        <f>HYPERLINK("https://sao.dolgi.msk.ru/account/1404198433/", 1404198433)</f>
        <v>1404198433</v>
      </c>
      <c r="F3054">
        <v>615.73</v>
      </c>
    </row>
    <row r="3055" spans="1:6" x14ac:dyDescent="0.25">
      <c r="A3055" t="s">
        <v>647</v>
      </c>
      <c r="B3055" t="s">
        <v>123</v>
      </c>
      <c r="C3055" s="5" t="str">
        <f t="shared" si="130"/>
        <v xml:space="preserve"> кв. 119</v>
      </c>
      <c r="D3055" s="5" t="str">
        <f>CONCATENATE(A3055,C3055)</f>
        <v>Беломорская ул., дом 20 к.2 кв. 119</v>
      </c>
      <c r="E3055" s="3">
        <f>HYPERLINK("https://sao.dolgi.msk.ru/account/1404199102/", 1404199102)</f>
        <v>1404199102</v>
      </c>
      <c r="F3055">
        <v>615.73</v>
      </c>
    </row>
    <row r="3056" spans="1:6" hidden="1" x14ac:dyDescent="0.25">
      <c r="A3056" t="s">
        <v>647</v>
      </c>
      <c r="B3056" t="s">
        <v>124</v>
      </c>
      <c r="E3056" s="3">
        <f>HYPERLINK("https://sao.dolgi.msk.ru/account/1404198492/", 1404198492)</f>
        <v>1404198492</v>
      </c>
      <c r="F3056">
        <v>-3424.94</v>
      </c>
    </row>
    <row r="3057" spans="1:6" hidden="1" x14ac:dyDescent="0.25">
      <c r="A3057" t="s">
        <v>647</v>
      </c>
      <c r="B3057" t="s">
        <v>125</v>
      </c>
      <c r="E3057" s="3">
        <f>HYPERLINK("https://sao.dolgi.msk.ru/account/1404199057/", 1404199057)</f>
        <v>1404199057</v>
      </c>
      <c r="F3057">
        <v>-1751.76</v>
      </c>
    </row>
    <row r="3058" spans="1:6" hidden="1" x14ac:dyDescent="0.25">
      <c r="A3058" t="s">
        <v>647</v>
      </c>
      <c r="B3058" t="s">
        <v>126</v>
      </c>
      <c r="E3058" s="3">
        <f>HYPERLINK("https://sao.dolgi.msk.ru/account/1404197481/", 1404197481)</f>
        <v>1404197481</v>
      </c>
      <c r="F3058">
        <v>-2175.4699999999998</v>
      </c>
    </row>
    <row r="3059" spans="1:6" x14ac:dyDescent="0.25">
      <c r="A3059" t="s">
        <v>647</v>
      </c>
      <c r="B3059" t="s">
        <v>127</v>
      </c>
      <c r="C3059" s="5" t="str">
        <f t="shared" ref="C3059:C3060" si="131">" кв. "&amp;B3059</f>
        <v xml:space="preserve"> кв. 123</v>
      </c>
      <c r="D3059" s="5" t="str">
        <f>CONCATENATE(A3059,C3059)</f>
        <v>Беломорская ул., дом 20 к.2 кв. 123</v>
      </c>
      <c r="E3059" s="3">
        <f>HYPERLINK("https://sao.dolgi.msk.ru/account/1404198759/", 1404198759)</f>
        <v>1404198759</v>
      </c>
      <c r="F3059">
        <v>1844.03</v>
      </c>
    </row>
    <row r="3060" spans="1:6" x14ac:dyDescent="0.25">
      <c r="A3060" t="s">
        <v>647</v>
      </c>
      <c r="B3060" t="s">
        <v>128</v>
      </c>
      <c r="C3060" s="5" t="str">
        <f t="shared" si="131"/>
        <v xml:space="preserve"> кв. 124</v>
      </c>
      <c r="D3060" s="5" t="str">
        <f>CONCATENATE(A3060,C3060)</f>
        <v>Беломорская ул., дом 20 к.2 кв. 124</v>
      </c>
      <c r="E3060" s="3">
        <f>HYPERLINK("https://sao.dolgi.msk.ru/account/1404199073/", 1404199073)</f>
        <v>1404199073</v>
      </c>
      <c r="F3060">
        <v>1818.73</v>
      </c>
    </row>
    <row r="3061" spans="1:6" hidden="1" x14ac:dyDescent="0.25">
      <c r="A3061" t="s">
        <v>647</v>
      </c>
      <c r="B3061" t="s">
        <v>129</v>
      </c>
      <c r="E3061" s="3">
        <f>HYPERLINK("https://sao.dolgi.msk.ru/account/1404198783/", 1404198783)</f>
        <v>1404198783</v>
      </c>
      <c r="F3061">
        <v>-1714.79</v>
      </c>
    </row>
    <row r="3062" spans="1:6" hidden="1" x14ac:dyDescent="0.25">
      <c r="A3062" t="s">
        <v>647</v>
      </c>
      <c r="B3062" t="s">
        <v>130</v>
      </c>
      <c r="E3062" s="3">
        <f>HYPERLINK("https://sao.dolgi.msk.ru/account/1404198046/", 1404198046)</f>
        <v>1404198046</v>
      </c>
      <c r="F3062">
        <v>0</v>
      </c>
    </row>
    <row r="3063" spans="1:6" x14ac:dyDescent="0.25">
      <c r="A3063" t="s">
        <v>647</v>
      </c>
      <c r="B3063" t="s">
        <v>131</v>
      </c>
      <c r="C3063" s="5" t="str">
        <f t="shared" ref="C3063:C3064" si="132">" кв. "&amp;B3063</f>
        <v xml:space="preserve"> кв. 127</v>
      </c>
      <c r="D3063" s="5" t="str">
        <f>CONCATENATE(A3063,C3063)</f>
        <v>Беломорская ул., дом 20 к.2 кв. 127</v>
      </c>
      <c r="E3063" s="3">
        <f>HYPERLINK("https://sao.dolgi.msk.ru/account/1404197828/", 1404197828)</f>
        <v>1404197828</v>
      </c>
      <c r="F3063">
        <v>1866.17</v>
      </c>
    </row>
    <row r="3064" spans="1:6" x14ac:dyDescent="0.25">
      <c r="A3064" t="s">
        <v>647</v>
      </c>
      <c r="B3064" t="s">
        <v>132</v>
      </c>
      <c r="C3064" s="5" t="str">
        <f t="shared" si="132"/>
        <v xml:space="preserve"> кв. 128</v>
      </c>
      <c r="D3064" s="5" t="str">
        <f>CONCATENATE(A3064,C3064)</f>
        <v>Беломорская ул., дом 20 к.2 кв. 128</v>
      </c>
      <c r="E3064" s="3">
        <f>HYPERLINK("https://sao.dolgi.msk.ru/account/1404197836/", 1404197836)</f>
        <v>1404197836</v>
      </c>
      <c r="F3064">
        <v>912.52</v>
      </c>
    </row>
    <row r="3065" spans="1:6" hidden="1" x14ac:dyDescent="0.25">
      <c r="A3065" t="s">
        <v>647</v>
      </c>
      <c r="B3065" t="s">
        <v>133</v>
      </c>
      <c r="E3065" s="3">
        <f>HYPERLINK("https://sao.dolgi.msk.ru/account/1404198564/", 1404198564)</f>
        <v>1404198564</v>
      </c>
      <c r="F3065">
        <v>-270.66000000000003</v>
      </c>
    </row>
    <row r="3066" spans="1:6" hidden="1" x14ac:dyDescent="0.25">
      <c r="A3066" t="s">
        <v>647</v>
      </c>
      <c r="B3066" t="s">
        <v>134</v>
      </c>
      <c r="E3066" s="3">
        <f>HYPERLINK("https://sao.dolgi.msk.ru/account/1404197596/", 1404197596)</f>
        <v>1404197596</v>
      </c>
      <c r="F3066">
        <v>-1444.13</v>
      </c>
    </row>
    <row r="3067" spans="1:6" hidden="1" x14ac:dyDescent="0.25">
      <c r="A3067" t="s">
        <v>647</v>
      </c>
      <c r="B3067" t="s">
        <v>135</v>
      </c>
      <c r="E3067" s="3">
        <f>HYPERLINK("https://sao.dolgi.msk.ru/account/1404197289/", 1404197289)</f>
        <v>1404197289</v>
      </c>
      <c r="F3067">
        <v>0</v>
      </c>
    </row>
    <row r="3068" spans="1:6" hidden="1" x14ac:dyDescent="0.25">
      <c r="A3068" t="s">
        <v>647</v>
      </c>
      <c r="B3068" t="s">
        <v>136</v>
      </c>
      <c r="E3068" s="3">
        <f>HYPERLINK("https://sao.dolgi.msk.ru/account/1404198521/", 1404198521)</f>
        <v>1404198521</v>
      </c>
      <c r="F3068">
        <v>-2238.21</v>
      </c>
    </row>
    <row r="3069" spans="1:6" hidden="1" x14ac:dyDescent="0.25">
      <c r="A3069" t="s">
        <v>647</v>
      </c>
      <c r="B3069" t="s">
        <v>137</v>
      </c>
      <c r="E3069" s="3">
        <f>HYPERLINK("https://sao.dolgi.msk.ru/account/1404198011/", 1404198011)</f>
        <v>1404198011</v>
      </c>
      <c r="F3069">
        <v>-1714.79</v>
      </c>
    </row>
    <row r="3070" spans="1:6" hidden="1" x14ac:dyDescent="0.25">
      <c r="A3070" t="s">
        <v>647</v>
      </c>
      <c r="B3070" t="s">
        <v>138</v>
      </c>
      <c r="E3070" s="3">
        <f>HYPERLINK("https://sao.dolgi.msk.ru/account/1404198038/", 1404198038)</f>
        <v>1404198038</v>
      </c>
      <c r="F3070">
        <v>-1719.42</v>
      </c>
    </row>
    <row r="3071" spans="1:6" hidden="1" x14ac:dyDescent="0.25">
      <c r="A3071" t="s">
        <v>647</v>
      </c>
      <c r="B3071" t="s">
        <v>139</v>
      </c>
      <c r="E3071" s="3">
        <f>HYPERLINK("https://sao.dolgi.msk.ru/account/1404198644/", 1404198644)</f>
        <v>1404198644</v>
      </c>
      <c r="F3071">
        <v>-3382.01</v>
      </c>
    </row>
    <row r="3072" spans="1:6" hidden="1" x14ac:dyDescent="0.25">
      <c r="A3072" t="s">
        <v>647</v>
      </c>
      <c r="B3072" t="s">
        <v>140</v>
      </c>
      <c r="E3072" s="3">
        <f>HYPERLINK("https://sao.dolgi.msk.ru/account/1404198898/", 1404198898)</f>
        <v>1404198898</v>
      </c>
      <c r="F3072">
        <v>-2657.69</v>
      </c>
    </row>
    <row r="3073" spans="1:6" hidden="1" x14ac:dyDescent="0.25">
      <c r="A3073" t="s">
        <v>647</v>
      </c>
      <c r="B3073" t="s">
        <v>141</v>
      </c>
      <c r="E3073" s="3">
        <f>HYPERLINK("https://sao.dolgi.msk.ru/account/1404197692/", 1404197692)</f>
        <v>1404197692</v>
      </c>
      <c r="F3073">
        <v>-1710.17</v>
      </c>
    </row>
    <row r="3074" spans="1:6" x14ac:dyDescent="0.25">
      <c r="A3074" t="s">
        <v>647</v>
      </c>
      <c r="B3074" t="s">
        <v>142</v>
      </c>
      <c r="C3074" s="5" t="str">
        <f>" кв. "&amp;B3074</f>
        <v xml:space="preserve"> кв. 138</v>
      </c>
      <c r="D3074" s="5" t="str">
        <f>CONCATENATE(A3074,C3074)</f>
        <v>Беломорская ул., дом 20 к.2 кв. 138</v>
      </c>
      <c r="E3074" s="3">
        <f>HYPERLINK("https://sao.dolgi.msk.ru/account/1404198222/", 1404198222)</f>
        <v>1404198222</v>
      </c>
      <c r="F3074">
        <v>1170.31</v>
      </c>
    </row>
    <row r="3075" spans="1:6" hidden="1" x14ac:dyDescent="0.25">
      <c r="A3075" t="s">
        <v>647</v>
      </c>
      <c r="B3075" t="s">
        <v>143</v>
      </c>
      <c r="E3075" s="3">
        <f>HYPERLINK("https://sao.dolgi.msk.ru/account/1404198118/", 1404198118)</f>
        <v>1404198118</v>
      </c>
      <c r="F3075">
        <v>-2727.03</v>
      </c>
    </row>
    <row r="3076" spans="1:6" hidden="1" x14ac:dyDescent="0.25">
      <c r="A3076" t="s">
        <v>647</v>
      </c>
      <c r="B3076" t="s">
        <v>144</v>
      </c>
      <c r="E3076" s="3">
        <f>HYPERLINK("https://sao.dolgi.msk.ru/account/1404198687/", 1404198687)</f>
        <v>1404198687</v>
      </c>
      <c r="F3076">
        <v>0</v>
      </c>
    </row>
    <row r="3077" spans="1:6" hidden="1" x14ac:dyDescent="0.25">
      <c r="A3077" t="s">
        <v>647</v>
      </c>
      <c r="B3077" t="s">
        <v>145</v>
      </c>
      <c r="E3077" s="3">
        <f>HYPERLINK("https://sao.dolgi.msk.ru/account/1404197772/", 1404197772)</f>
        <v>1404197772</v>
      </c>
      <c r="F3077">
        <v>-1719.42</v>
      </c>
    </row>
    <row r="3078" spans="1:6" hidden="1" x14ac:dyDescent="0.25">
      <c r="A3078" t="s">
        <v>647</v>
      </c>
      <c r="B3078" t="s">
        <v>146</v>
      </c>
      <c r="E3078" s="3">
        <f>HYPERLINK("https://sao.dolgi.msk.ru/account/1404198505/", 1404198505)</f>
        <v>1404198505</v>
      </c>
      <c r="F3078">
        <v>-1719.42</v>
      </c>
    </row>
    <row r="3079" spans="1:6" x14ac:dyDescent="0.25">
      <c r="A3079" t="s">
        <v>647</v>
      </c>
      <c r="B3079" t="s">
        <v>147</v>
      </c>
      <c r="C3079" s="5" t="str">
        <f>" кв. "&amp;B3079</f>
        <v xml:space="preserve"> кв. 143</v>
      </c>
      <c r="D3079" s="5" t="str">
        <f>CONCATENATE(A3079,C3079)</f>
        <v>Беломорская ул., дом 20 к.2 кв. 143</v>
      </c>
      <c r="E3079" s="3">
        <f>HYPERLINK("https://sao.dolgi.msk.ru/account/1404197959/", 1404197959)</f>
        <v>1404197959</v>
      </c>
      <c r="F3079">
        <v>1863.01</v>
      </c>
    </row>
    <row r="3080" spans="1:6" hidden="1" x14ac:dyDescent="0.25">
      <c r="A3080" t="s">
        <v>647</v>
      </c>
      <c r="B3080" t="s">
        <v>148</v>
      </c>
      <c r="E3080" s="3">
        <f>HYPERLINK("https://sao.dolgi.msk.ru/account/1404197457/", 1404197457)</f>
        <v>1404197457</v>
      </c>
      <c r="F3080">
        <v>-2657.69</v>
      </c>
    </row>
    <row r="3081" spans="1:6" hidden="1" x14ac:dyDescent="0.25">
      <c r="A3081" t="s">
        <v>647</v>
      </c>
      <c r="B3081" t="s">
        <v>149</v>
      </c>
      <c r="E3081" s="3">
        <f>HYPERLINK("https://sao.dolgi.msk.ru/account/1404197852/", 1404197852)</f>
        <v>1404197852</v>
      </c>
      <c r="F3081">
        <v>0</v>
      </c>
    </row>
    <row r="3082" spans="1:6" hidden="1" x14ac:dyDescent="0.25">
      <c r="A3082" t="s">
        <v>647</v>
      </c>
      <c r="B3082" t="s">
        <v>150</v>
      </c>
      <c r="E3082" s="3">
        <f>HYPERLINK("https://sao.dolgi.msk.ru/account/1404198396/", 1404198396)</f>
        <v>1404198396</v>
      </c>
      <c r="F3082">
        <v>-1710.17</v>
      </c>
    </row>
    <row r="3083" spans="1:6" x14ac:dyDescent="0.25">
      <c r="A3083" t="s">
        <v>647</v>
      </c>
      <c r="B3083" t="s">
        <v>151</v>
      </c>
      <c r="C3083" s="5" t="str">
        <f>" кв. "&amp;B3083</f>
        <v xml:space="preserve"> кв. 147</v>
      </c>
      <c r="D3083" s="5" t="str">
        <f>CONCATENATE(A3083,C3083)</f>
        <v>Беломорская ул., дом 20 к.2 кв. 147</v>
      </c>
      <c r="E3083" s="3">
        <f>HYPERLINK("https://sao.dolgi.msk.ru/account/1404199284/", 1404199284)</f>
        <v>1404199284</v>
      </c>
      <c r="F3083">
        <v>1863.01</v>
      </c>
    </row>
    <row r="3084" spans="1:6" hidden="1" x14ac:dyDescent="0.25">
      <c r="A3084" t="s">
        <v>647</v>
      </c>
      <c r="B3084" t="s">
        <v>152</v>
      </c>
      <c r="E3084" s="3">
        <f>HYPERLINK("https://sao.dolgi.msk.ru/account/1404197895/", 1404197895)</f>
        <v>1404197895</v>
      </c>
      <c r="F3084">
        <v>0</v>
      </c>
    </row>
    <row r="3085" spans="1:6" hidden="1" x14ac:dyDescent="0.25">
      <c r="A3085" t="s">
        <v>647</v>
      </c>
      <c r="B3085" t="s">
        <v>153</v>
      </c>
      <c r="E3085" s="3">
        <f>HYPERLINK("https://sao.dolgi.msk.ru/account/1404197668/", 1404197668)</f>
        <v>1404197668</v>
      </c>
      <c r="F3085">
        <v>-956.78</v>
      </c>
    </row>
    <row r="3086" spans="1:6" hidden="1" x14ac:dyDescent="0.25">
      <c r="A3086" t="s">
        <v>647</v>
      </c>
      <c r="B3086" t="s">
        <v>154</v>
      </c>
      <c r="E3086" s="3">
        <f>HYPERLINK("https://sao.dolgi.msk.ru/account/1404198943/", 1404198943)</f>
        <v>1404198943</v>
      </c>
      <c r="F3086">
        <v>0</v>
      </c>
    </row>
    <row r="3087" spans="1:6" hidden="1" x14ac:dyDescent="0.25">
      <c r="A3087" t="s">
        <v>647</v>
      </c>
      <c r="B3087" t="s">
        <v>155</v>
      </c>
      <c r="E3087" s="3">
        <f>HYPERLINK("https://sao.dolgi.msk.ru/account/1404198177/", 1404198177)</f>
        <v>1404198177</v>
      </c>
      <c r="F3087">
        <v>-2288.8200000000002</v>
      </c>
    </row>
    <row r="3088" spans="1:6" hidden="1" x14ac:dyDescent="0.25">
      <c r="A3088" t="s">
        <v>647</v>
      </c>
      <c r="B3088" t="s">
        <v>156</v>
      </c>
      <c r="E3088" s="3">
        <f>HYPERLINK("https://sao.dolgi.msk.ru/account/1404198054/", 1404198054)</f>
        <v>1404198054</v>
      </c>
      <c r="F3088">
        <v>0</v>
      </c>
    </row>
    <row r="3089" spans="1:6" hidden="1" x14ac:dyDescent="0.25">
      <c r="A3089" t="s">
        <v>647</v>
      </c>
      <c r="B3089" t="s">
        <v>157</v>
      </c>
      <c r="E3089" s="3">
        <f>HYPERLINK("https://sao.dolgi.msk.ru/account/1404198409/", 1404198409)</f>
        <v>1404198409</v>
      </c>
      <c r="F3089">
        <v>-1747.13</v>
      </c>
    </row>
    <row r="3090" spans="1:6" hidden="1" x14ac:dyDescent="0.25">
      <c r="A3090" t="s">
        <v>647</v>
      </c>
      <c r="B3090" t="s">
        <v>158</v>
      </c>
      <c r="E3090" s="3">
        <f>HYPERLINK("https://sao.dolgi.msk.ru/account/1404198417/", 1404198417)</f>
        <v>1404198417</v>
      </c>
      <c r="F3090">
        <v>-1747.13</v>
      </c>
    </row>
    <row r="3091" spans="1:6" hidden="1" x14ac:dyDescent="0.25">
      <c r="A3091" t="s">
        <v>647</v>
      </c>
      <c r="B3091" t="s">
        <v>159</v>
      </c>
      <c r="E3091" s="3">
        <f>HYPERLINK("https://sao.dolgi.msk.ru/account/1404199014/", 1404199014)</f>
        <v>1404199014</v>
      </c>
      <c r="F3091">
        <v>-1632.38</v>
      </c>
    </row>
    <row r="3092" spans="1:6" hidden="1" x14ac:dyDescent="0.25">
      <c r="A3092" t="s">
        <v>647</v>
      </c>
      <c r="B3092" t="s">
        <v>160</v>
      </c>
      <c r="E3092" s="3">
        <f>HYPERLINK("https://sao.dolgi.msk.ru/account/1404198716/", 1404198716)</f>
        <v>1404198716</v>
      </c>
      <c r="F3092">
        <v>-1615.48</v>
      </c>
    </row>
    <row r="3093" spans="1:6" hidden="1" x14ac:dyDescent="0.25">
      <c r="A3093" t="s">
        <v>647</v>
      </c>
      <c r="B3093" t="s">
        <v>161</v>
      </c>
      <c r="E3093" s="3">
        <f>HYPERLINK("https://sao.dolgi.msk.ru/account/1404198441/", 1404198441)</f>
        <v>1404198441</v>
      </c>
      <c r="F3093">
        <v>0</v>
      </c>
    </row>
    <row r="3094" spans="1:6" x14ac:dyDescent="0.25">
      <c r="A3094" t="s">
        <v>647</v>
      </c>
      <c r="B3094" t="s">
        <v>162</v>
      </c>
      <c r="C3094" s="5" t="str">
        <f>" кв. "&amp;B3094</f>
        <v xml:space="preserve"> кв. 158</v>
      </c>
      <c r="D3094" s="5" t="str">
        <f>CONCATENATE(A3094,C3094)</f>
        <v>Беломорская ул., дом 20 к.2 кв. 158</v>
      </c>
      <c r="E3094" s="3">
        <f>HYPERLINK("https://sao.dolgi.msk.ru/account/1404197713/", 1404197713)</f>
        <v>1404197713</v>
      </c>
      <c r="F3094">
        <v>670.55</v>
      </c>
    </row>
    <row r="3095" spans="1:6" hidden="1" x14ac:dyDescent="0.25">
      <c r="A3095" t="s">
        <v>647</v>
      </c>
      <c r="B3095" t="s">
        <v>163</v>
      </c>
      <c r="E3095" s="3">
        <f>HYPERLINK("https://sao.dolgi.msk.ru/account/1404197721/", 1404197721)</f>
        <v>1404197721</v>
      </c>
      <c r="F3095">
        <v>-2731.63</v>
      </c>
    </row>
    <row r="3096" spans="1:6" x14ac:dyDescent="0.25">
      <c r="A3096" t="s">
        <v>647</v>
      </c>
      <c r="B3096" t="s">
        <v>164</v>
      </c>
      <c r="C3096" s="5" t="str">
        <f>" кв. "&amp;B3096</f>
        <v xml:space="preserve"> кв. 160</v>
      </c>
      <c r="D3096" s="5" t="str">
        <f>CONCATENATE(A3096,C3096)</f>
        <v>Беломорская ул., дом 20 к.2 кв. 160</v>
      </c>
      <c r="E3096" s="3">
        <f>HYPERLINK("https://sao.dolgi.msk.ru/account/1404198927/", 1404198927)</f>
        <v>1404198927</v>
      </c>
      <c r="F3096">
        <v>1818.73</v>
      </c>
    </row>
    <row r="3097" spans="1:6" hidden="1" x14ac:dyDescent="0.25">
      <c r="A3097" t="s">
        <v>647</v>
      </c>
      <c r="B3097" t="s">
        <v>165</v>
      </c>
      <c r="E3097" s="3">
        <f>HYPERLINK("https://sao.dolgi.msk.ru/account/1404198169/", 1404198169)</f>
        <v>1404198169</v>
      </c>
      <c r="F3097">
        <v>-1747.13</v>
      </c>
    </row>
    <row r="3098" spans="1:6" x14ac:dyDescent="0.25">
      <c r="A3098" t="s">
        <v>647</v>
      </c>
      <c r="B3098" t="s">
        <v>166</v>
      </c>
      <c r="C3098" s="5" t="str">
        <f>" кв. "&amp;B3098</f>
        <v xml:space="preserve"> кв. 162</v>
      </c>
      <c r="D3098" s="5" t="str">
        <f>CONCATENATE(A3098,C3098)</f>
        <v>Беломорская ул., дом 20 к.2 кв. 162</v>
      </c>
      <c r="E3098" s="3">
        <f>HYPERLINK("https://sao.dolgi.msk.ru/account/1404198142/", 1404198142)</f>
        <v>1404198142</v>
      </c>
      <c r="F3098">
        <v>1195.6099999999999</v>
      </c>
    </row>
    <row r="3099" spans="1:6" hidden="1" x14ac:dyDescent="0.25">
      <c r="A3099" t="s">
        <v>647</v>
      </c>
      <c r="B3099" t="s">
        <v>167</v>
      </c>
      <c r="E3099" s="3">
        <f>HYPERLINK("https://sao.dolgi.msk.ru/account/1404197879/", 1404197879)</f>
        <v>1404197879</v>
      </c>
      <c r="F3099">
        <v>-2727.03</v>
      </c>
    </row>
    <row r="3100" spans="1:6" x14ac:dyDescent="0.25">
      <c r="A3100" t="s">
        <v>647</v>
      </c>
      <c r="B3100" t="s">
        <v>168</v>
      </c>
      <c r="C3100" s="5" t="str">
        <f t="shared" ref="C3100:C3101" si="133">" кв. "&amp;B3100</f>
        <v xml:space="preserve"> кв. 164</v>
      </c>
      <c r="D3100" s="5" t="str">
        <f>CONCATENATE(A3100,C3100)</f>
        <v>Беломорская ул., дом 20 к.2 кв. 164</v>
      </c>
      <c r="E3100" s="3">
        <f>HYPERLINK("https://sao.dolgi.msk.ru/account/1404197641/", 1404197641)</f>
        <v>1404197641</v>
      </c>
      <c r="F3100">
        <v>1821.89</v>
      </c>
    </row>
    <row r="3101" spans="1:6" x14ac:dyDescent="0.25">
      <c r="A3101" t="s">
        <v>647</v>
      </c>
      <c r="B3101" t="s">
        <v>169</v>
      </c>
      <c r="C3101" s="5" t="str">
        <f t="shared" si="133"/>
        <v xml:space="preserve"> кв. 165</v>
      </c>
      <c r="D3101" s="5" t="str">
        <f>CONCATENATE(A3101,C3101)</f>
        <v>Беломорская ул., дом 20 к.2 кв. 165</v>
      </c>
      <c r="E3101" s="3">
        <f>HYPERLINK("https://sao.dolgi.msk.ru/account/1404197844/", 1404197844)</f>
        <v>1404197844</v>
      </c>
      <c r="F3101">
        <v>1192.45</v>
      </c>
    </row>
    <row r="3102" spans="1:6" hidden="1" x14ac:dyDescent="0.25">
      <c r="A3102" t="s">
        <v>647</v>
      </c>
      <c r="B3102" t="s">
        <v>170</v>
      </c>
      <c r="E3102" s="3">
        <f>HYPERLINK("https://sao.dolgi.msk.ru/account/1404197465/", 1404197465)</f>
        <v>1404197465</v>
      </c>
      <c r="F3102">
        <v>0</v>
      </c>
    </row>
    <row r="3103" spans="1:6" hidden="1" x14ac:dyDescent="0.25">
      <c r="A3103" t="s">
        <v>647</v>
      </c>
      <c r="B3103" t="s">
        <v>171</v>
      </c>
      <c r="E3103" s="3">
        <f>HYPERLINK("https://sao.dolgi.msk.ru/account/1404197983/", 1404197983)</f>
        <v>1404197983</v>
      </c>
      <c r="F3103">
        <v>-2731.63</v>
      </c>
    </row>
    <row r="3104" spans="1:6" hidden="1" x14ac:dyDescent="0.25">
      <c r="A3104" t="s">
        <v>647</v>
      </c>
      <c r="B3104" t="s">
        <v>172</v>
      </c>
      <c r="E3104" s="3">
        <f>HYPERLINK("https://sao.dolgi.msk.ru/account/1404199305/", 1404199305)</f>
        <v>1404199305</v>
      </c>
      <c r="F3104">
        <v>0</v>
      </c>
    </row>
    <row r="3105" spans="1:6" hidden="1" x14ac:dyDescent="0.25">
      <c r="A3105" t="s">
        <v>647</v>
      </c>
      <c r="B3105" t="s">
        <v>173</v>
      </c>
      <c r="E3105" s="3">
        <f>HYPERLINK("https://sao.dolgi.msk.ru/account/1404198732/", 1404198732)</f>
        <v>1404198732</v>
      </c>
      <c r="F3105">
        <v>-1751.76</v>
      </c>
    </row>
    <row r="3106" spans="1:6" hidden="1" x14ac:dyDescent="0.25">
      <c r="A3106" t="s">
        <v>647</v>
      </c>
      <c r="B3106" t="s">
        <v>174</v>
      </c>
      <c r="E3106" s="3">
        <f>HYPERLINK("https://sao.dolgi.msk.ru/account/1404199049/", 1404199049)</f>
        <v>1404199049</v>
      </c>
      <c r="F3106">
        <v>-1265.6300000000001</v>
      </c>
    </row>
    <row r="3107" spans="1:6" x14ac:dyDescent="0.25">
      <c r="A3107" t="s">
        <v>647</v>
      </c>
      <c r="B3107" t="s">
        <v>175</v>
      </c>
      <c r="C3107" s="5" t="str">
        <f>" кв. "&amp;B3107</f>
        <v xml:space="preserve"> кв. 171</v>
      </c>
      <c r="D3107" s="5" t="str">
        <f>CONCATENATE(A3107,C3107)</f>
        <v>Беломорская ул., дом 20 к.2 кв. 171</v>
      </c>
      <c r="E3107" s="3">
        <f>HYPERLINK("https://sao.dolgi.msk.ru/account/1404197393/", 1404197393)</f>
        <v>1404197393</v>
      </c>
      <c r="F3107">
        <v>1869.33</v>
      </c>
    </row>
    <row r="3108" spans="1:6" hidden="1" x14ac:dyDescent="0.25">
      <c r="A3108" t="s">
        <v>648</v>
      </c>
      <c r="B3108" t="s">
        <v>5</v>
      </c>
      <c r="E3108" s="3">
        <f>HYPERLINK("https://sao.dolgi.msk.ru/account/1404199495/", 1404199495)</f>
        <v>1404199495</v>
      </c>
      <c r="F3108">
        <v>-2722.41</v>
      </c>
    </row>
    <row r="3109" spans="1:6" x14ac:dyDescent="0.25">
      <c r="A3109" t="s">
        <v>648</v>
      </c>
      <c r="B3109" t="s">
        <v>6</v>
      </c>
      <c r="C3109" s="5" t="str">
        <f>" кв. "&amp;B3109</f>
        <v xml:space="preserve"> кв. 2</v>
      </c>
      <c r="D3109" s="5" t="str">
        <f>CONCATENATE(A3109,C3109)</f>
        <v>Беломорская ул., дом 20 к.3 кв. 2</v>
      </c>
      <c r="E3109" s="3">
        <f>HYPERLINK("https://sao.dolgi.msk.ru/account/1404199401/", 1404199401)</f>
        <v>1404199401</v>
      </c>
      <c r="F3109">
        <v>1173.47</v>
      </c>
    </row>
    <row r="3110" spans="1:6" hidden="1" x14ac:dyDescent="0.25">
      <c r="A3110" t="s">
        <v>648</v>
      </c>
      <c r="B3110" t="s">
        <v>7</v>
      </c>
      <c r="E3110" s="3">
        <f>HYPERLINK("https://sao.dolgi.msk.ru/account/1404200951/", 1404200951)</f>
        <v>1404200951</v>
      </c>
      <c r="F3110">
        <v>-1444.13</v>
      </c>
    </row>
    <row r="3111" spans="1:6" x14ac:dyDescent="0.25">
      <c r="A3111" t="s">
        <v>648</v>
      </c>
      <c r="B3111" t="s">
        <v>8</v>
      </c>
      <c r="C3111" s="5" t="str">
        <f t="shared" ref="C3111:C3112" si="134">" кв. "&amp;B3111</f>
        <v xml:space="preserve"> кв. 4</v>
      </c>
      <c r="D3111" s="5" t="str">
        <f>CONCATENATE(A3111,C3111)</f>
        <v>Беломорская ул., дом 20 к.3 кв. 4</v>
      </c>
      <c r="E3111" s="3">
        <f>HYPERLINK("https://sao.dolgi.msk.ru/account/1404200724/", 1404200724)</f>
        <v>1404200724</v>
      </c>
      <c r="F3111">
        <v>1825.05</v>
      </c>
    </row>
    <row r="3112" spans="1:6" x14ac:dyDescent="0.25">
      <c r="A3112" t="s">
        <v>648</v>
      </c>
      <c r="B3112" t="s">
        <v>9</v>
      </c>
      <c r="C3112" s="5" t="str">
        <f t="shared" si="134"/>
        <v xml:space="preserve"> кв. 5</v>
      </c>
      <c r="D3112" s="5" t="str">
        <f>CONCATENATE(A3112,C3112)</f>
        <v>Беломорская ул., дом 20 к.3 кв. 5</v>
      </c>
      <c r="E3112" s="3">
        <f>HYPERLINK("https://sao.dolgi.msk.ru/account/1404200142/", 1404200142)</f>
        <v>1404200142</v>
      </c>
      <c r="F3112">
        <v>1863.01</v>
      </c>
    </row>
    <row r="3113" spans="1:6" hidden="1" x14ac:dyDescent="0.25">
      <c r="A3113" t="s">
        <v>648</v>
      </c>
      <c r="B3113" t="s">
        <v>10</v>
      </c>
      <c r="E3113" s="3">
        <f>HYPERLINK("https://sao.dolgi.msk.ru/account/1404201356/", 1404201356)</f>
        <v>1404201356</v>
      </c>
      <c r="F3113">
        <v>0</v>
      </c>
    </row>
    <row r="3114" spans="1:6" hidden="1" x14ac:dyDescent="0.25">
      <c r="A3114" t="s">
        <v>648</v>
      </c>
      <c r="B3114" t="s">
        <v>11</v>
      </c>
      <c r="E3114" s="3">
        <f>HYPERLINK("https://sao.dolgi.msk.ru/account/1404200839/", 1404200839)</f>
        <v>1404200839</v>
      </c>
      <c r="F3114">
        <v>0</v>
      </c>
    </row>
    <row r="3115" spans="1:6" x14ac:dyDescent="0.25">
      <c r="A3115" t="s">
        <v>648</v>
      </c>
      <c r="B3115" t="s">
        <v>12</v>
      </c>
      <c r="C3115" s="5" t="str">
        <f t="shared" ref="C3115:C3116" si="135">" кв. "&amp;B3115</f>
        <v xml:space="preserve"> кв. 8</v>
      </c>
      <c r="D3115" s="5" t="str">
        <f>CONCATENATE(A3115,C3115)</f>
        <v>Беломорская ул., дом 20 к.3 кв. 8</v>
      </c>
      <c r="E3115" s="3">
        <f>HYPERLINK("https://sao.dolgi.msk.ru/account/1404199735/", 1404199735)</f>
        <v>1404199735</v>
      </c>
      <c r="F3115">
        <v>912.52</v>
      </c>
    </row>
    <row r="3116" spans="1:6" x14ac:dyDescent="0.25">
      <c r="A3116" t="s">
        <v>648</v>
      </c>
      <c r="B3116" t="s">
        <v>13</v>
      </c>
      <c r="C3116" s="5" t="str">
        <f t="shared" si="135"/>
        <v xml:space="preserve"> кв. 9</v>
      </c>
      <c r="D3116" s="5" t="str">
        <f>CONCATENATE(A3116,C3116)</f>
        <v>Беломорская ул., дом 20 к.3 кв. 9</v>
      </c>
      <c r="E3116" s="3">
        <f>HYPERLINK("https://sao.dolgi.msk.ru/account/1404199743/", 1404199743)</f>
        <v>1404199743</v>
      </c>
      <c r="F3116">
        <v>1859.84</v>
      </c>
    </row>
    <row r="3117" spans="1:6" hidden="1" x14ac:dyDescent="0.25">
      <c r="A3117" t="s">
        <v>648</v>
      </c>
      <c r="B3117" t="s">
        <v>14</v>
      </c>
      <c r="E3117" s="3">
        <f>HYPERLINK("https://sao.dolgi.msk.ru/account/1404200038/", 1404200038)</f>
        <v>1404200038</v>
      </c>
      <c r="F3117">
        <v>-1237.92</v>
      </c>
    </row>
    <row r="3118" spans="1:6" x14ac:dyDescent="0.25">
      <c r="A3118" t="s">
        <v>648</v>
      </c>
      <c r="B3118" t="s">
        <v>15</v>
      </c>
      <c r="C3118" s="5" t="str">
        <f>" кв. "&amp;B3118</f>
        <v xml:space="preserve"> кв. 11</v>
      </c>
      <c r="D3118" s="5" t="str">
        <f>CONCATENATE(A3118,C3118)</f>
        <v>Беломорская ул., дом 20 к.3 кв. 11</v>
      </c>
      <c r="E3118" s="3">
        <f>HYPERLINK("https://sao.dolgi.msk.ru/account/1404199356/", 1404199356)</f>
        <v>1404199356</v>
      </c>
      <c r="F3118">
        <v>1170.31</v>
      </c>
    </row>
    <row r="3119" spans="1:6" hidden="1" x14ac:dyDescent="0.25">
      <c r="A3119" t="s">
        <v>648</v>
      </c>
      <c r="B3119" t="s">
        <v>16</v>
      </c>
      <c r="E3119" s="3">
        <f>HYPERLINK("https://sao.dolgi.msk.ru/account/1404201102/", 1404201102)</f>
        <v>1404201102</v>
      </c>
      <c r="F3119">
        <v>-2245.9899999999998</v>
      </c>
    </row>
    <row r="3120" spans="1:6" hidden="1" x14ac:dyDescent="0.25">
      <c r="A3120" t="s">
        <v>648</v>
      </c>
      <c r="B3120" t="s">
        <v>17</v>
      </c>
      <c r="E3120" s="3">
        <f>HYPERLINK("https://sao.dolgi.msk.ru/account/1404199372/", 1404199372)</f>
        <v>1404199372</v>
      </c>
      <c r="F3120">
        <v>-907.46</v>
      </c>
    </row>
    <row r="3121" spans="1:6" hidden="1" x14ac:dyDescent="0.25">
      <c r="A3121" t="s">
        <v>648</v>
      </c>
      <c r="B3121" t="s">
        <v>17</v>
      </c>
      <c r="E3121" s="3">
        <f>HYPERLINK("https://sao.dolgi.msk.ru/account/1404200281/", 1404200281)</f>
        <v>1404200281</v>
      </c>
      <c r="F3121">
        <v>-907.46</v>
      </c>
    </row>
    <row r="3122" spans="1:6" hidden="1" x14ac:dyDescent="0.25">
      <c r="A3122" t="s">
        <v>648</v>
      </c>
      <c r="B3122" t="s">
        <v>18</v>
      </c>
      <c r="E3122" s="3">
        <f>HYPERLINK("https://sao.dolgi.msk.ru/account/1404199962/", 1404199962)</f>
        <v>1404199962</v>
      </c>
      <c r="F3122">
        <v>-1714.79</v>
      </c>
    </row>
    <row r="3123" spans="1:6" hidden="1" x14ac:dyDescent="0.25">
      <c r="A3123" t="s">
        <v>648</v>
      </c>
      <c r="B3123" t="s">
        <v>19</v>
      </c>
      <c r="E3123" s="3">
        <f>HYPERLINK("https://sao.dolgi.msk.ru/account/1404200062/", 1404200062)</f>
        <v>1404200062</v>
      </c>
      <c r="F3123">
        <v>-1714.79</v>
      </c>
    </row>
    <row r="3124" spans="1:6" x14ac:dyDescent="0.25">
      <c r="A3124" t="s">
        <v>648</v>
      </c>
      <c r="B3124" t="s">
        <v>20</v>
      </c>
      <c r="C3124" s="5" t="str">
        <f t="shared" ref="C3124:C3126" si="136">" кв. "&amp;B3124</f>
        <v xml:space="preserve"> кв. 16</v>
      </c>
      <c r="D3124" s="5" t="str">
        <f>CONCATENATE(A3124,C3124)</f>
        <v>Беломорская ул., дом 20 к.3 кв. 16</v>
      </c>
      <c r="E3124" s="3">
        <f>HYPERLINK("https://sao.dolgi.msk.ru/account/1404200935/", 1404200935)</f>
        <v>1404200935</v>
      </c>
      <c r="F3124">
        <v>1840.87</v>
      </c>
    </row>
    <row r="3125" spans="1:6" x14ac:dyDescent="0.25">
      <c r="A3125" t="s">
        <v>648</v>
      </c>
      <c r="B3125" t="s">
        <v>21</v>
      </c>
      <c r="C3125" s="5" t="str">
        <f t="shared" si="136"/>
        <v xml:space="preserve"> кв. 17</v>
      </c>
      <c r="D3125" s="5" t="str">
        <f>CONCATENATE(A3125,C3125)</f>
        <v>Беломорская ул., дом 20 к.3 кв. 17</v>
      </c>
      <c r="E3125" s="3">
        <f>HYPERLINK("https://sao.dolgi.msk.ru/account/1404199794/", 1404199794)</f>
        <v>1404199794</v>
      </c>
      <c r="F3125">
        <v>1869.33</v>
      </c>
    </row>
    <row r="3126" spans="1:6" x14ac:dyDescent="0.25">
      <c r="A3126" t="s">
        <v>648</v>
      </c>
      <c r="B3126" t="s">
        <v>22</v>
      </c>
      <c r="C3126" s="5" t="str">
        <f t="shared" si="136"/>
        <v xml:space="preserve"> кв. 18</v>
      </c>
      <c r="D3126" s="5" t="str">
        <f>CONCATENATE(A3126,C3126)</f>
        <v>Беломорская ул., дом 20 к.3 кв. 18</v>
      </c>
      <c r="E3126" s="3">
        <f>HYPERLINK("https://sao.dolgi.msk.ru/account/1404200185/", 1404200185)</f>
        <v>1404200185</v>
      </c>
      <c r="F3126">
        <v>588.32000000000005</v>
      </c>
    </row>
    <row r="3127" spans="1:6" hidden="1" x14ac:dyDescent="0.25">
      <c r="A3127" t="s">
        <v>648</v>
      </c>
      <c r="B3127" t="s">
        <v>23</v>
      </c>
      <c r="E3127" s="3">
        <f>HYPERLINK("https://sao.dolgi.msk.ru/account/1404199874/", 1404199874)</f>
        <v>1404199874</v>
      </c>
      <c r="F3127">
        <v>-922.23</v>
      </c>
    </row>
    <row r="3128" spans="1:6" hidden="1" x14ac:dyDescent="0.25">
      <c r="A3128" t="s">
        <v>648</v>
      </c>
      <c r="B3128" t="s">
        <v>24</v>
      </c>
      <c r="E3128" s="3">
        <f>HYPERLINK("https://sao.dolgi.msk.ru/account/1404200863/", 1404200863)</f>
        <v>1404200863</v>
      </c>
      <c r="F3128">
        <v>-2180.81</v>
      </c>
    </row>
    <row r="3129" spans="1:6" x14ac:dyDescent="0.25">
      <c r="A3129" t="s">
        <v>648</v>
      </c>
      <c r="B3129" t="s">
        <v>25</v>
      </c>
      <c r="C3129" s="5" t="str">
        <f>" кв. "&amp;B3129</f>
        <v xml:space="preserve"> кв. 21</v>
      </c>
      <c r="D3129" s="5" t="str">
        <f>CONCATENATE(A3129,C3129)</f>
        <v>Беломорская ул., дом 20 к.3 кв. 21</v>
      </c>
      <c r="E3129" s="3">
        <f>HYPERLINK("https://sao.dolgi.msk.ru/account/1404199751/", 1404199751)</f>
        <v>1404199751</v>
      </c>
      <c r="F3129">
        <v>1866.17</v>
      </c>
    </row>
    <row r="3130" spans="1:6" hidden="1" x14ac:dyDescent="0.25">
      <c r="A3130" t="s">
        <v>648</v>
      </c>
      <c r="B3130" t="s">
        <v>26</v>
      </c>
      <c r="E3130" s="3">
        <f>HYPERLINK("https://sao.dolgi.msk.ru/account/1404200425/", 1404200425)</f>
        <v>1404200425</v>
      </c>
      <c r="F3130">
        <v>0</v>
      </c>
    </row>
    <row r="3131" spans="1:6" hidden="1" x14ac:dyDescent="0.25">
      <c r="A3131" t="s">
        <v>648</v>
      </c>
      <c r="B3131" t="s">
        <v>27</v>
      </c>
      <c r="E3131" s="3">
        <f>HYPERLINK("https://sao.dolgi.msk.ru/account/1404201444/", 1404201444)</f>
        <v>1404201444</v>
      </c>
      <c r="F3131">
        <v>-1719.42</v>
      </c>
    </row>
    <row r="3132" spans="1:6" hidden="1" x14ac:dyDescent="0.25">
      <c r="A3132" t="s">
        <v>648</v>
      </c>
      <c r="B3132" t="s">
        <v>28</v>
      </c>
      <c r="E3132" s="3">
        <f>HYPERLINK("https://sao.dolgi.msk.ru/account/1404200054/", 1404200054)</f>
        <v>1404200054</v>
      </c>
      <c r="F3132">
        <v>-2662.31</v>
      </c>
    </row>
    <row r="3133" spans="1:6" hidden="1" x14ac:dyDescent="0.25">
      <c r="A3133" t="s">
        <v>648</v>
      </c>
      <c r="B3133" t="s">
        <v>649</v>
      </c>
      <c r="E3133" s="3">
        <f>HYPERLINK("https://sao.dolgi.msk.ru/account/1404200564/", 1404200564)</f>
        <v>1404200564</v>
      </c>
      <c r="F3133">
        <v>-4437.18</v>
      </c>
    </row>
    <row r="3134" spans="1:6" hidden="1" x14ac:dyDescent="0.25">
      <c r="A3134" t="s">
        <v>648</v>
      </c>
      <c r="B3134" t="s">
        <v>31</v>
      </c>
      <c r="E3134" s="3">
        <f>HYPERLINK("https://sao.dolgi.msk.ru/account/1404201073/", 1404201073)</f>
        <v>1404201073</v>
      </c>
      <c r="F3134">
        <v>0</v>
      </c>
    </row>
    <row r="3135" spans="1:6" hidden="1" x14ac:dyDescent="0.25">
      <c r="A3135" t="s">
        <v>648</v>
      </c>
      <c r="B3135" t="s">
        <v>32</v>
      </c>
      <c r="E3135" s="3">
        <f>HYPERLINK("https://sao.dolgi.msk.ru/account/1404200345/", 1404200345)</f>
        <v>1404200345</v>
      </c>
      <c r="F3135">
        <v>-2218.58</v>
      </c>
    </row>
    <row r="3136" spans="1:6" x14ac:dyDescent="0.25">
      <c r="A3136" t="s">
        <v>648</v>
      </c>
      <c r="B3136" t="s">
        <v>33</v>
      </c>
      <c r="C3136" s="5" t="str">
        <f t="shared" ref="C3136:C3137" si="137">" кв. "&amp;B3136</f>
        <v xml:space="preserve"> кв. 29</v>
      </c>
      <c r="D3136" s="5" t="str">
        <f>CONCATENATE(A3136,C3136)</f>
        <v>Беломорская ул., дом 20 к.3 кв. 29</v>
      </c>
      <c r="E3136" s="3">
        <f>HYPERLINK("https://sao.dolgi.msk.ru/account/1404200097/", 1404200097)</f>
        <v>1404200097</v>
      </c>
      <c r="F3136">
        <v>1863.01</v>
      </c>
    </row>
    <row r="3137" spans="1:6" x14ac:dyDescent="0.25">
      <c r="A3137" t="s">
        <v>648</v>
      </c>
      <c r="B3137" t="s">
        <v>34</v>
      </c>
      <c r="C3137" s="5" t="str">
        <f t="shared" si="137"/>
        <v xml:space="preserve"> кв. 30</v>
      </c>
      <c r="D3137" s="5" t="str">
        <f>CONCATENATE(A3137,C3137)</f>
        <v>Беломорская ул., дом 20 к.3 кв. 30</v>
      </c>
      <c r="E3137" s="3">
        <f>HYPERLINK("https://sao.dolgi.msk.ru/account/1404200476/", 1404200476)</f>
        <v>1404200476</v>
      </c>
      <c r="F3137">
        <v>1173.47</v>
      </c>
    </row>
    <row r="3138" spans="1:6" hidden="1" x14ac:dyDescent="0.25">
      <c r="A3138" t="s">
        <v>648</v>
      </c>
      <c r="B3138" t="s">
        <v>35</v>
      </c>
      <c r="E3138" s="3">
        <f>HYPERLINK("https://sao.dolgi.msk.ru/account/1404200484/", 1404200484)</f>
        <v>1404200484</v>
      </c>
      <c r="F3138">
        <v>0</v>
      </c>
    </row>
    <row r="3139" spans="1:6" hidden="1" x14ac:dyDescent="0.25">
      <c r="A3139" t="s">
        <v>648</v>
      </c>
      <c r="B3139" t="s">
        <v>36</v>
      </c>
      <c r="E3139" s="3">
        <f>HYPERLINK("https://sao.dolgi.msk.ru/account/1404199348/", 1404199348)</f>
        <v>1404199348</v>
      </c>
      <c r="F3139">
        <v>-2666.93</v>
      </c>
    </row>
    <row r="3140" spans="1:6" hidden="1" x14ac:dyDescent="0.25">
      <c r="A3140" t="s">
        <v>648</v>
      </c>
      <c r="B3140" t="s">
        <v>37</v>
      </c>
      <c r="E3140" s="3">
        <f>HYPERLINK("https://sao.dolgi.msk.ru/account/1404199807/", 1404199807)</f>
        <v>1404199807</v>
      </c>
      <c r="F3140">
        <v>-2717.78</v>
      </c>
    </row>
    <row r="3141" spans="1:6" x14ac:dyDescent="0.25">
      <c r="A3141" t="s">
        <v>648</v>
      </c>
      <c r="B3141" t="s">
        <v>38</v>
      </c>
      <c r="C3141" s="5" t="str">
        <f>" кв. "&amp;B3141</f>
        <v xml:space="preserve"> кв. 34</v>
      </c>
      <c r="D3141" s="5" t="str">
        <f>CONCATENATE(A3141,C3141)</f>
        <v>Беломорская ул., дом 20 к.3 кв. 34</v>
      </c>
      <c r="E3141" s="3">
        <f>HYPERLINK("https://sao.dolgi.msk.ru/account/1404201014/", 1404201014)</f>
        <v>1404201014</v>
      </c>
      <c r="F3141">
        <v>588.32000000000005</v>
      </c>
    </row>
    <row r="3142" spans="1:6" hidden="1" x14ac:dyDescent="0.25">
      <c r="A3142" t="s">
        <v>648</v>
      </c>
      <c r="B3142" t="s">
        <v>39</v>
      </c>
      <c r="E3142" s="3">
        <f>HYPERLINK("https://sao.dolgi.msk.ru/account/1404200599/", 1404200599)</f>
        <v>1404200599</v>
      </c>
      <c r="F3142">
        <v>0</v>
      </c>
    </row>
    <row r="3143" spans="1:6" hidden="1" x14ac:dyDescent="0.25">
      <c r="A3143" t="s">
        <v>648</v>
      </c>
      <c r="B3143" t="s">
        <v>40</v>
      </c>
      <c r="E3143" s="3">
        <f>HYPERLINK("https://sao.dolgi.msk.ru/account/1404200601/", 1404200601)</f>
        <v>1404200601</v>
      </c>
      <c r="F3143">
        <v>-2249.87</v>
      </c>
    </row>
    <row r="3144" spans="1:6" x14ac:dyDescent="0.25">
      <c r="A3144" t="s">
        <v>648</v>
      </c>
      <c r="B3144" t="s">
        <v>41</v>
      </c>
      <c r="C3144" s="5" t="str">
        <f t="shared" ref="C3144:C3146" si="138">" кв. "&amp;B3144</f>
        <v xml:space="preserve"> кв. 37</v>
      </c>
      <c r="D3144" s="5" t="str">
        <f>CONCATENATE(A3144,C3144)</f>
        <v>Беломорская ул., дом 20 к.3 кв. 37</v>
      </c>
      <c r="E3144" s="3">
        <f>HYPERLINK("https://sao.dolgi.msk.ru/account/1404200265/", 1404200265)</f>
        <v>1404200265</v>
      </c>
      <c r="F3144">
        <v>1863.01</v>
      </c>
    </row>
    <row r="3145" spans="1:6" x14ac:dyDescent="0.25">
      <c r="A3145" t="s">
        <v>648</v>
      </c>
      <c r="B3145" t="s">
        <v>42</v>
      </c>
      <c r="C3145" s="5" t="str">
        <f t="shared" si="138"/>
        <v xml:space="preserve"> кв. 38</v>
      </c>
      <c r="D3145" s="5" t="str">
        <f>CONCATENATE(A3145,C3145)</f>
        <v>Беломорская ул., дом 20 к.3 кв. 38</v>
      </c>
      <c r="E3145" s="3">
        <f>HYPERLINK("https://sao.dolgi.msk.ru/account/1404201057/", 1404201057)</f>
        <v>1404201057</v>
      </c>
      <c r="F3145">
        <v>585.15</v>
      </c>
    </row>
    <row r="3146" spans="1:6" x14ac:dyDescent="0.25">
      <c r="A3146" t="s">
        <v>648</v>
      </c>
      <c r="B3146" t="s">
        <v>43</v>
      </c>
      <c r="C3146" s="5" t="str">
        <f t="shared" si="138"/>
        <v xml:space="preserve"> кв. 39</v>
      </c>
      <c r="D3146" s="5" t="str">
        <f>CONCATENATE(A3146,C3146)</f>
        <v>Беломорская ул., дом 20 к.3 кв. 39</v>
      </c>
      <c r="E3146" s="3">
        <f>HYPERLINK("https://sao.dolgi.msk.ru/account/1404199399/", 1404199399)</f>
        <v>1404199399</v>
      </c>
      <c r="F3146">
        <v>1170.31</v>
      </c>
    </row>
    <row r="3147" spans="1:6" hidden="1" x14ac:dyDescent="0.25">
      <c r="A3147" t="s">
        <v>648</v>
      </c>
      <c r="B3147" t="s">
        <v>44</v>
      </c>
      <c r="E3147" s="3">
        <f>HYPERLINK("https://sao.dolgi.msk.ru/account/1404201276/", 1404201276)</f>
        <v>1404201276</v>
      </c>
      <c r="F3147">
        <v>-2666.93</v>
      </c>
    </row>
    <row r="3148" spans="1:6" x14ac:dyDescent="0.25">
      <c r="A3148" t="s">
        <v>648</v>
      </c>
      <c r="B3148" t="s">
        <v>45</v>
      </c>
      <c r="C3148" s="5" t="str">
        <f>" кв. "&amp;B3148</f>
        <v xml:space="preserve"> кв. 41</v>
      </c>
      <c r="D3148" s="5" t="str">
        <f>CONCATENATE(A3148,C3148)</f>
        <v>Беломорская ул., дом 20 к.3 кв. 41</v>
      </c>
      <c r="E3148" s="3">
        <f>HYPERLINK("https://sao.dolgi.msk.ru/account/1404199516/", 1404199516)</f>
        <v>1404199516</v>
      </c>
      <c r="F3148">
        <v>933.09</v>
      </c>
    </row>
    <row r="3149" spans="1:6" hidden="1" x14ac:dyDescent="0.25">
      <c r="A3149" t="s">
        <v>648</v>
      </c>
      <c r="B3149" t="s">
        <v>45</v>
      </c>
      <c r="E3149" s="3">
        <f>HYPERLINK("https://sao.dolgi.msk.ru/account/1404200994/", 1404200994)</f>
        <v>1404200994</v>
      </c>
      <c r="F3149">
        <v>-1363.5</v>
      </c>
    </row>
    <row r="3150" spans="1:6" x14ac:dyDescent="0.25">
      <c r="A3150" t="s">
        <v>648</v>
      </c>
      <c r="B3150" t="s">
        <v>46</v>
      </c>
      <c r="C3150" s="5" t="str">
        <f t="shared" ref="C3150:C3151" si="139">" кв. "&amp;B3150</f>
        <v xml:space="preserve"> кв. 42</v>
      </c>
      <c r="D3150" s="5" t="str">
        <f>CONCATENATE(A3150,C3150)</f>
        <v>Беломорская ул., дом 20 к.3 кв. 42</v>
      </c>
      <c r="E3150" s="3">
        <f>HYPERLINK("https://sao.dolgi.msk.ru/account/1404199858/", 1404199858)</f>
        <v>1404199858</v>
      </c>
      <c r="F3150">
        <v>1173.47</v>
      </c>
    </row>
    <row r="3151" spans="1:6" x14ac:dyDescent="0.25">
      <c r="A3151" t="s">
        <v>648</v>
      </c>
      <c r="B3151" t="s">
        <v>47</v>
      </c>
      <c r="C3151" s="5" t="str">
        <f t="shared" si="139"/>
        <v xml:space="preserve"> кв. 43</v>
      </c>
      <c r="D3151" s="5" t="str">
        <f>CONCATENATE(A3151,C3151)</f>
        <v>Беломорская ул., дом 20 к.3 кв. 43</v>
      </c>
      <c r="E3151" s="3">
        <f>HYPERLINK("https://sao.dolgi.msk.ru/account/1404200687/", 1404200687)</f>
        <v>1404200687</v>
      </c>
      <c r="F3151">
        <v>1176.6400000000001</v>
      </c>
    </row>
    <row r="3152" spans="1:6" hidden="1" x14ac:dyDescent="0.25">
      <c r="A3152" t="s">
        <v>648</v>
      </c>
      <c r="B3152" t="s">
        <v>48</v>
      </c>
      <c r="E3152" s="3">
        <f>HYPERLINK("https://sao.dolgi.msk.ru/account/1404200628/", 1404200628)</f>
        <v>1404200628</v>
      </c>
      <c r="F3152">
        <v>-2242.09</v>
      </c>
    </row>
    <row r="3153" spans="1:6" hidden="1" x14ac:dyDescent="0.25">
      <c r="A3153" t="s">
        <v>648</v>
      </c>
      <c r="B3153" t="s">
        <v>49</v>
      </c>
      <c r="E3153" s="3">
        <f>HYPERLINK("https://sao.dolgi.msk.ru/account/1404200361/", 1404200361)</f>
        <v>1404200361</v>
      </c>
      <c r="F3153">
        <v>-2722.41</v>
      </c>
    </row>
    <row r="3154" spans="1:6" hidden="1" x14ac:dyDescent="0.25">
      <c r="A3154" t="s">
        <v>648</v>
      </c>
      <c r="B3154" t="s">
        <v>50</v>
      </c>
      <c r="E3154" s="3">
        <f>HYPERLINK("https://sao.dolgi.msk.ru/account/1404200919/", 1404200919)</f>
        <v>1404200919</v>
      </c>
      <c r="F3154">
        <v>-1751.76</v>
      </c>
    </row>
    <row r="3155" spans="1:6" hidden="1" x14ac:dyDescent="0.25">
      <c r="A3155" t="s">
        <v>648</v>
      </c>
      <c r="B3155" t="s">
        <v>51</v>
      </c>
      <c r="E3155" s="3">
        <f>HYPERLINK("https://sao.dolgi.msk.ru/account/1404199815/", 1404199815)</f>
        <v>1404199815</v>
      </c>
      <c r="F3155">
        <v>-1747.13</v>
      </c>
    </row>
    <row r="3156" spans="1:6" hidden="1" x14ac:dyDescent="0.25">
      <c r="A3156" t="s">
        <v>648</v>
      </c>
      <c r="B3156" t="s">
        <v>52</v>
      </c>
      <c r="E3156" s="3">
        <f>HYPERLINK("https://sao.dolgi.msk.ru/account/1404201129/", 1404201129)</f>
        <v>1404201129</v>
      </c>
      <c r="F3156">
        <v>-2325.4699999999998</v>
      </c>
    </row>
    <row r="3157" spans="1:6" hidden="1" x14ac:dyDescent="0.25">
      <c r="A3157" t="s">
        <v>648</v>
      </c>
      <c r="B3157" t="s">
        <v>53</v>
      </c>
      <c r="E3157" s="3">
        <f>HYPERLINK("https://sao.dolgi.msk.ru/account/1404199671/", 1404199671)</f>
        <v>1404199671</v>
      </c>
      <c r="F3157">
        <v>-2507.5700000000002</v>
      </c>
    </row>
    <row r="3158" spans="1:6" hidden="1" x14ac:dyDescent="0.25">
      <c r="A3158" t="s">
        <v>648</v>
      </c>
      <c r="B3158" t="s">
        <v>54</v>
      </c>
      <c r="E3158" s="3">
        <f>HYPERLINK("https://sao.dolgi.msk.ru/account/1404201161/", 1404201161)</f>
        <v>1404201161</v>
      </c>
      <c r="F3158">
        <v>-1747.13</v>
      </c>
    </row>
    <row r="3159" spans="1:6" hidden="1" x14ac:dyDescent="0.25">
      <c r="A3159" t="s">
        <v>648</v>
      </c>
      <c r="B3159" t="s">
        <v>55</v>
      </c>
      <c r="E3159" s="3">
        <f>HYPERLINK("https://sao.dolgi.msk.ru/account/1404199559/", 1404199559)</f>
        <v>1404199559</v>
      </c>
      <c r="F3159">
        <v>-1751.76</v>
      </c>
    </row>
    <row r="3160" spans="1:6" hidden="1" x14ac:dyDescent="0.25">
      <c r="A3160" t="s">
        <v>648</v>
      </c>
      <c r="B3160" t="s">
        <v>56</v>
      </c>
      <c r="E3160" s="3">
        <f>HYPERLINK("https://sao.dolgi.msk.ru/account/1404199823/", 1404199823)</f>
        <v>1404199823</v>
      </c>
      <c r="F3160">
        <v>-1324.22</v>
      </c>
    </row>
    <row r="3161" spans="1:6" hidden="1" x14ac:dyDescent="0.25">
      <c r="A3161" t="s">
        <v>648</v>
      </c>
      <c r="B3161" t="s">
        <v>57</v>
      </c>
      <c r="E3161" s="3">
        <f>HYPERLINK("https://sao.dolgi.msk.ru/account/1404200222/", 1404200222)</f>
        <v>1404200222</v>
      </c>
      <c r="F3161">
        <v>-2727.03</v>
      </c>
    </row>
    <row r="3162" spans="1:6" hidden="1" x14ac:dyDescent="0.25">
      <c r="A3162" t="s">
        <v>648</v>
      </c>
      <c r="B3162" t="s">
        <v>58</v>
      </c>
      <c r="E3162" s="3">
        <f>HYPERLINK("https://sao.dolgi.msk.ru/account/1404200249/", 1404200249)</f>
        <v>1404200249</v>
      </c>
      <c r="F3162">
        <v>-1265.6300000000001</v>
      </c>
    </row>
    <row r="3163" spans="1:6" hidden="1" x14ac:dyDescent="0.25">
      <c r="A3163" t="s">
        <v>648</v>
      </c>
      <c r="B3163" t="s">
        <v>59</v>
      </c>
      <c r="E3163" s="3">
        <f>HYPERLINK("https://sao.dolgi.msk.ru/account/1404200257/", 1404200257)</f>
        <v>1404200257</v>
      </c>
      <c r="F3163">
        <v>-1742.51</v>
      </c>
    </row>
    <row r="3164" spans="1:6" hidden="1" x14ac:dyDescent="0.25">
      <c r="A3164" t="s">
        <v>648</v>
      </c>
      <c r="B3164" t="s">
        <v>60</v>
      </c>
      <c r="E3164" s="3">
        <f>HYPERLINK("https://sao.dolgi.msk.ru/account/1404199612/", 1404199612)</f>
        <v>1404199612</v>
      </c>
      <c r="F3164">
        <v>-2662.31</v>
      </c>
    </row>
    <row r="3165" spans="1:6" hidden="1" x14ac:dyDescent="0.25">
      <c r="A3165" t="s">
        <v>648</v>
      </c>
      <c r="B3165" t="s">
        <v>61</v>
      </c>
      <c r="E3165" s="3">
        <f>HYPERLINK("https://sao.dolgi.msk.ru/account/1404200644/", 1404200644)</f>
        <v>1404200644</v>
      </c>
      <c r="F3165">
        <v>0</v>
      </c>
    </row>
    <row r="3166" spans="1:6" hidden="1" x14ac:dyDescent="0.25">
      <c r="A3166" t="s">
        <v>648</v>
      </c>
      <c r="B3166" t="s">
        <v>62</v>
      </c>
      <c r="E3166" s="3">
        <f>HYPERLINK("https://sao.dolgi.msk.ru/account/1404200409/", 1404200409)</f>
        <v>1404200409</v>
      </c>
      <c r="F3166">
        <v>0</v>
      </c>
    </row>
    <row r="3167" spans="1:6" hidden="1" x14ac:dyDescent="0.25">
      <c r="A3167" t="s">
        <v>648</v>
      </c>
      <c r="B3167" t="s">
        <v>63</v>
      </c>
      <c r="E3167" s="3">
        <f>HYPERLINK("https://sao.dolgi.msk.ru/account/1404200417/", 1404200417)</f>
        <v>1404200417</v>
      </c>
      <c r="F3167">
        <v>-1467.47</v>
      </c>
    </row>
    <row r="3168" spans="1:6" x14ac:dyDescent="0.25">
      <c r="A3168" t="s">
        <v>648</v>
      </c>
      <c r="B3168" t="s">
        <v>64</v>
      </c>
      <c r="C3168" s="5" t="str">
        <f>" кв. "&amp;B3168</f>
        <v xml:space="preserve"> кв. 60</v>
      </c>
      <c r="D3168" s="5" t="str">
        <f>CONCATENATE(A3168,C3168)</f>
        <v>Беломорская ул., дом 20 к.3 кв. 60</v>
      </c>
      <c r="E3168" s="3">
        <f>HYPERLINK("https://sao.dolgi.msk.ru/account/1404199786/", 1404199786)</f>
        <v>1404199786</v>
      </c>
      <c r="F3168">
        <v>1825.05</v>
      </c>
    </row>
    <row r="3169" spans="1:6" hidden="1" x14ac:dyDescent="0.25">
      <c r="A3169" t="s">
        <v>648</v>
      </c>
      <c r="B3169" t="s">
        <v>65</v>
      </c>
      <c r="E3169" s="3">
        <f>HYPERLINK("https://sao.dolgi.msk.ru/account/1404201217/", 1404201217)</f>
        <v>1404201217</v>
      </c>
      <c r="F3169">
        <v>-2713.16</v>
      </c>
    </row>
    <row r="3170" spans="1:6" hidden="1" x14ac:dyDescent="0.25">
      <c r="A3170" t="s">
        <v>648</v>
      </c>
      <c r="B3170" t="s">
        <v>66</v>
      </c>
      <c r="E3170" s="3">
        <f>HYPERLINK("https://sao.dolgi.msk.ru/account/1404200118/", 1404200118)</f>
        <v>1404200118</v>
      </c>
      <c r="F3170">
        <v>-739.11</v>
      </c>
    </row>
    <row r="3171" spans="1:6" x14ac:dyDescent="0.25">
      <c r="A3171" t="s">
        <v>648</v>
      </c>
      <c r="B3171" t="s">
        <v>67</v>
      </c>
      <c r="C3171" s="5" t="str">
        <f>" кв. "&amp;B3171</f>
        <v xml:space="preserve"> кв. 63</v>
      </c>
      <c r="D3171" s="5" t="str">
        <f>CONCATENATE(A3171,C3171)</f>
        <v>Беломорская ул., дом 20 к.3 кв. 63</v>
      </c>
      <c r="E3171" s="3">
        <f>HYPERLINK("https://sao.dolgi.msk.ru/account/1404199364/", 1404199364)</f>
        <v>1404199364</v>
      </c>
      <c r="F3171">
        <v>1192.45</v>
      </c>
    </row>
    <row r="3172" spans="1:6" hidden="1" x14ac:dyDescent="0.25">
      <c r="A3172" t="s">
        <v>648</v>
      </c>
      <c r="B3172" t="s">
        <v>68</v>
      </c>
      <c r="E3172" s="3">
        <f>HYPERLINK("https://sao.dolgi.msk.ru/account/1404199882/", 1404199882)</f>
        <v>1404199882</v>
      </c>
      <c r="F3172">
        <v>-2662.31</v>
      </c>
    </row>
    <row r="3173" spans="1:6" x14ac:dyDescent="0.25">
      <c r="A3173" t="s">
        <v>648</v>
      </c>
      <c r="B3173" t="s">
        <v>69</v>
      </c>
      <c r="C3173" s="5" t="str">
        <f>" кв. "&amp;B3173</f>
        <v xml:space="preserve"> кв. 65</v>
      </c>
      <c r="D3173" s="5" t="str">
        <f>CONCATENATE(A3173,C3173)</f>
        <v>Беломорская ул., дом 20 к.3 кв. 65</v>
      </c>
      <c r="E3173" s="3">
        <f>HYPERLINK("https://sao.dolgi.msk.ru/account/1404200652/", 1404200652)</f>
        <v>1404200652</v>
      </c>
      <c r="F3173">
        <v>1902.7</v>
      </c>
    </row>
    <row r="3174" spans="1:6" hidden="1" x14ac:dyDescent="0.25">
      <c r="A3174" t="s">
        <v>648</v>
      </c>
      <c r="B3174" t="s">
        <v>70</v>
      </c>
      <c r="E3174" s="3">
        <f>HYPERLINK("https://sao.dolgi.msk.ru/account/1404200732/", 1404200732)</f>
        <v>1404200732</v>
      </c>
      <c r="F3174">
        <v>-867.01</v>
      </c>
    </row>
    <row r="3175" spans="1:6" x14ac:dyDescent="0.25">
      <c r="A3175" t="s">
        <v>648</v>
      </c>
      <c r="B3175" t="s">
        <v>71</v>
      </c>
      <c r="C3175" s="5" t="str">
        <f t="shared" ref="C3175:C3177" si="140">" кв. "&amp;B3175</f>
        <v xml:space="preserve"> кв. 67</v>
      </c>
      <c r="D3175" s="5" t="str">
        <f>CONCATENATE(A3175,C3175)</f>
        <v>Беломорская ул., дом 20 к.3 кв. 67</v>
      </c>
      <c r="E3175" s="3">
        <f>HYPERLINK("https://sao.dolgi.msk.ru/account/1404200513/", 1404200513)</f>
        <v>1404200513</v>
      </c>
      <c r="F3175">
        <v>826.8</v>
      </c>
    </row>
    <row r="3176" spans="1:6" x14ac:dyDescent="0.25">
      <c r="A3176" t="s">
        <v>648</v>
      </c>
      <c r="B3176" t="s">
        <v>72</v>
      </c>
      <c r="C3176" s="5" t="str">
        <f t="shared" si="140"/>
        <v xml:space="preserve"> кв. 68</v>
      </c>
      <c r="D3176" s="5" t="str">
        <f>CONCATENATE(A3176,C3176)</f>
        <v>Беломорская ул., дом 20 к.3 кв. 68</v>
      </c>
      <c r="E3176" s="3">
        <f>HYPERLINK("https://sao.dolgi.msk.ru/account/1404201292/", 1404201292)</f>
        <v>1404201292</v>
      </c>
      <c r="F3176">
        <v>2343.7800000000002</v>
      </c>
    </row>
    <row r="3177" spans="1:6" x14ac:dyDescent="0.25">
      <c r="A3177" t="s">
        <v>648</v>
      </c>
      <c r="B3177" t="s">
        <v>73</v>
      </c>
      <c r="C3177" s="5" t="str">
        <f t="shared" si="140"/>
        <v xml:space="preserve"> кв. 69</v>
      </c>
      <c r="D3177" s="5" t="str">
        <f>CONCATENATE(A3177,C3177)</f>
        <v>Беломорская ул., дом 20 к.3 кв. 69</v>
      </c>
      <c r="E3177" s="3">
        <f>HYPERLINK("https://sao.dolgi.msk.ru/account/1404200759/", 1404200759)</f>
        <v>1404200759</v>
      </c>
      <c r="F3177">
        <v>673.71</v>
      </c>
    </row>
    <row r="3178" spans="1:6" hidden="1" x14ac:dyDescent="0.25">
      <c r="A3178" t="s">
        <v>648</v>
      </c>
      <c r="B3178" t="s">
        <v>74</v>
      </c>
      <c r="E3178" s="3">
        <f>HYPERLINK("https://sao.dolgi.msk.ru/account/1404201225/", 1404201225)</f>
        <v>1404201225</v>
      </c>
      <c r="F3178">
        <v>-2361.87</v>
      </c>
    </row>
    <row r="3179" spans="1:6" x14ac:dyDescent="0.25">
      <c r="A3179" t="s">
        <v>648</v>
      </c>
      <c r="B3179" t="s">
        <v>75</v>
      </c>
      <c r="C3179" s="5" t="str">
        <f>" кв. "&amp;B3179</f>
        <v xml:space="preserve"> кв. 71</v>
      </c>
      <c r="D3179" s="5" t="str">
        <f>CONCATENATE(A3179,C3179)</f>
        <v>Беломорская ул., дом 20 к.3 кв. 71</v>
      </c>
      <c r="E3179" s="3">
        <f>HYPERLINK("https://sao.dolgi.msk.ru/account/1404200337/", 1404200337)</f>
        <v>1404200337</v>
      </c>
      <c r="F3179">
        <v>922.02</v>
      </c>
    </row>
    <row r="3180" spans="1:6" hidden="1" x14ac:dyDescent="0.25">
      <c r="A3180" t="s">
        <v>648</v>
      </c>
      <c r="B3180" t="s">
        <v>76</v>
      </c>
      <c r="E3180" s="3">
        <f>HYPERLINK("https://sao.dolgi.msk.ru/account/1404200855/", 1404200855)</f>
        <v>1404200855</v>
      </c>
      <c r="F3180">
        <v>-2334.8200000000002</v>
      </c>
    </row>
    <row r="3181" spans="1:6" hidden="1" x14ac:dyDescent="0.25">
      <c r="A3181" t="s">
        <v>648</v>
      </c>
      <c r="B3181" t="s">
        <v>77</v>
      </c>
      <c r="E3181" s="3">
        <f>HYPERLINK("https://sao.dolgi.msk.ru/account/1404200011/", 1404200011)</f>
        <v>1404200011</v>
      </c>
      <c r="F3181">
        <v>-1742.51</v>
      </c>
    </row>
    <row r="3182" spans="1:6" hidden="1" x14ac:dyDescent="0.25">
      <c r="A3182" t="s">
        <v>648</v>
      </c>
      <c r="B3182" t="s">
        <v>78</v>
      </c>
      <c r="E3182" s="3">
        <f>HYPERLINK("https://sao.dolgi.msk.ru/account/1404199604/", 1404199604)</f>
        <v>1404199604</v>
      </c>
      <c r="F3182">
        <v>-1087.99</v>
      </c>
    </row>
    <row r="3183" spans="1:6" hidden="1" x14ac:dyDescent="0.25">
      <c r="A3183" t="s">
        <v>648</v>
      </c>
      <c r="B3183" t="s">
        <v>79</v>
      </c>
      <c r="E3183" s="3">
        <f>HYPERLINK("https://sao.dolgi.msk.ru/account/1404201372/", 1404201372)</f>
        <v>1404201372</v>
      </c>
      <c r="F3183">
        <v>-1789.7</v>
      </c>
    </row>
    <row r="3184" spans="1:6" hidden="1" x14ac:dyDescent="0.25">
      <c r="A3184" t="s">
        <v>648</v>
      </c>
      <c r="B3184" t="s">
        <v>80</v>
      </c>
      <c r="E3184" s="3">
        <f>HYPERLINK("https://sao.dolgi.msk.ru/account/1404201049/", 1404201049)</f>
        <v>1404201049</v>
      </c>
      <c r="F3184">
        <v>0</v>
      </c>
    </row>
    <row r="3185" spans="1:6" hidden="1" x14ac:dyDescent="0.25">
      <c r="A3185" t="s">
        <v>648</v>
      </c>
      <c r="B3185" t="s">
        <v>81</v>
      </c>
      <c r="E3185" s="3">
        <f>HYPERLINK("https://sao.dolgi.msk.ru/account/1404199444/", 1404199444)</f>
        <v>1404199444</v>
      </c>
      <c r="F3185">
        <v>-1737.89</v>
      </c>
    </row>
    <row r="3186" spans="1:6" hidden="1" x14ac:dyDescent="0.25">
      <c r="A3186" t="s">
        <v>648</v>
      </c>
      <c r="B3186" t="s">
        <v>82</v>
      </c>
      <c r="E3186" s="3">
        <f>HYPERLINK("https://sao.dolgi.msk.ru/account/1404200767/", 1404200767)</f>
        <v>1404200767</v>
      </c>
      <c r="F3186">
        <v>0</v>
      </c>
    </row>
    <row r="3187" spans="1:6" x14ac:dyDescent="0.25">
      <c r="A3187" t="s">
        <v>648</v>
      </c>
      <c r="B3187" t="s">
        <v>83</v>
      </c>
      <c r="C3187" s="5" t="str">
        <f>" кв. "&amp;B3187</f>
        <v xml:space="preserve"> кв. 79</v>
      </c>
      <c r="D3187" s="5" t="str">
        <f>CONCATENATE(A3187,C3187)</f>
        <v>Беломорская ул., дом 20 к.3 кв. 79</v>
      </c>
      <c r="E3187" s="3">
        <f>HYPERLINK("https://sao.dolgi.msk.ru/account/1404199452/", 1404199452)</f>
        <v>1404199452</v>
      </c>
      <c r="F3187">
        <v>1847.19</v>
      </c>
    </row>
    <row r="3188" spans="1:6" hidden="1" x14ac:dyDescent="0.25">
      <c r="A3188" t="s">
        <v>648</v>
      </c>
      <c r="B3188" t="s">
        <v>84</v>
      </c>
      <c r="E3188" s="3">
        <f>HYPERLINK("https://sao.dolgi.msk.ru/account/1404199487/", 1404199487)</f>
        <v>1404199487</v>
      </c>
      <c r="F3188">
        <v>-3406.47</v>
      </c>
    </row>
    <row r="3189" spans="1:6" x14ac:dyDescent="0.25">
      <c r="A3189" t="s">
        <v>648</v>
      </c>
      <c r="B3189" t="s">
        <v>85</v>
      </c>
      <c r="C3189" s="5" t="str">
        <f>" кв. "&amp;B3189</f>
        <v xml:space="preserve"> кв. 81</v>
      </c>
      <c r="D3189" s="5" t="str">
        <f>CONCATENATE(A3189,C3189)</f>
        <v>Беломорская ул., дом 20 к.3 кв. 81</v>
      </c>
      <c r="E3189" s="3">
        <f>HYPERLINK("https://sao.dolgi.msk.ru/account/1404199428/", 1404199428)</f>
        <v>1404199428</v>
      </c>
      <c r="F3189">
        <v>1195.6099999999999</v>
      </c>
    </row>
    <row r="3190" spans="1:6" hidden="1" x14ac:dyDescent="0.25">
      <c r="A3190" t="s">
        <v>648</v>
      </c>
      <c r="B3190" t="s">
        <v>86</v>
      </c>
      <c r="E3190" s="3">
        <f>HYPERLINK("https://sao.dolgi.msk.ru/account/1404201268/", 1404201268)</f>
        <v>1404201268</v>
      </c>
      <c r="F3190">
        <v>0</v>
      </c>
    </row>
    <row r="3191" spans="1:6" x14ac:dyDescent="0.25">
      <c r="A3191" t="s">
        <v>648</v>
      </c>
      <c r="B3191" t="s">
        <v>87</v>
      </c>
      <c r="C3191" s="5" t="str">
        <f t="shared" ref="C3191:C3192" si="141">" кв. "&amp;B3191</f>
        <v xml:space="preserve"> кв. 83</v>
      </c>
      <c r="D3191" s="5" t="str">
        <f>CONCATENATE(A3191,C3191)</f>
        <v>Беломорская ул., дом 20 к.3 кв. 83</v>
      </c>
      <c r="E3191" s="3">
        <f>HYPERLINK("https://sao.dolgi.msk.ru/account/1404200978/", 1404200978)</f>
        <v>1404200978</v>
      </c>
      <c r="F3191">
        <v>1322.13</v>
      </c>
    </row>
    <row r="3192" spans="1:6" x14ac:dyDescent="0.25">
      <c r="A3192" t="s">
        <v>648</v>
      </c>
      <c r="B3192" t="s">
        <v>88</v>
      </c>
      <c r="C3192" s="5" t="str">
        <f t="shared" si="141"/>
        <v xml:space="preserve"> кв. 84</v>
      </c>
      <c r="D3192" s="5" t="str">
        <f>CONCATENATE(A3192,C3192)</f>
        <v>Беломорская ул., дом 20 к.3 кв. 84</v>
      </c>
      <c r="E3192" s="3">
        <f>HYPERLINK("https://sao.dolgi.msk.ru/account/1404199591/", 1404199591)</f>
        <v>1404199591</v>
      </c>
      <c r="F3192">
        <v>2340.62</v>
      </c>
    </row>
    <row r="3193" spans="1:6" hidden="1" x14ac:dyDescent="0.25">
      <c r="A3193" t="s">
        <v>648</v>
      </c>
      <c r="B3193" t="s">
        <v>89</v>
      </c>
      <c r="E3193" s="3">
        <f>HYPERLINK("https://sao.dolgi.msk.ru/account/1404201284/", 1404201284)</f>
        <v>1404201284</v>
      </c>
      <c r="F3193">
        <v>-1737.89</v>
      </c>
    </row>
    <row r="3194" spans="1:6" hidden="1" x14ac:dyDescent="0.25">
      <c r="A3194" t="s">
        <v>648</v>
      </c>
      <c r="B3194" t="s">
        <v>90</v>
      </c>
      <c r="E3194" s="3">
        <f>HYPERLINK("https://sao.dolgi.msk.ru/account/1404200193/", 1404200193)</f>
        <v>1404200193</v>
      </c>
      <c r="F3194">
        <v>-1178.6199999999999</v>
      </c>
    </row>
    <row r="3195" spans="1:6" hidden="1" x14ac:dyDescent="0.25">
      <c r="A3195" t="s">
        <v>648</v>
      </c>
      <c r="B3195" t="s">
        <v>91</v>
      </c>
      <c r="E3195" s="3">
        <f>HYPERLINK("https://sao.dolgi.msk.ru/account/1404199524/", 1404199524)</f>
        <v>1404199524</v>
      </c>
      <c r="F3195">
        <v>-1345.04</v>
      </c>
    </row>
    <row r="3196" spans="1:6" hidden="1" x14ac:dyDescent="0.25">
      <c r="A3196" t="s">
        <v>648</v>
      </c>
      <c r="B3196" t="s">
        <v>92</v>
      </c>
      <c r="E3196" s="3">
        <f>HYPERLINK("https://sao.dolgi.msk.ru/account/1404200871/", 1404200871)</f>
        <v>1404200871</v>
      </c>
      <c r="F3196">
        <v>-3267.77</v>
      </c>
    </row>
    <row r="3197" spans="1:6" x14ac:dyDescent="0.25">
      <c r="A3197" t="s">
        <v>648</v>
      </c>
      <c r="B3197" t="s">
        <v>93</v>
      </c>
      <c r="C3197" s="5" t="str">
        <f>" кв. "&amp;B3197</f>
        <v xml:space="preserve"> кв. 89</v>
      </c>
      <c r="D3197" s="5" t="str">
        <f>CONCATENATE(A3197,C3197)</f>
        <v>Беломорская ул., дом 20 к.3 кв. 89</v>
      </c>
      <c r="E3197" s="3">
        <f>HYPERLINK("https://sao.dolgi.msk.ru/account/1404200812/", 1404200812)</f>
        <v>1404200812</v>
      </c>
      <c r="F3197">
        <v>1192.45</v>
      </c>
    </row>
    <row r="3198" spans="1:6" hidden="1" x14ac:dyDescent="0.25">
      <c r="A3198" t="s">
        <v>648</v>
      </c>
      <c r="B3198" t="s">
        <v>94</v>
      </c>
      <c r="E3198" s="3">
        <f>HYPERLINK("https://sao.dolgi.msk.ru/account/1404199567/", 1404199567)</f>
        <v>1404199567</v>
      </c>
      <c r="F3198">
        <v>-2361.87</v>
      </c>
    </row>
    <row r="3199" spans="1:6" hidden="1" x14ac:dyDescent="0.25">
      <c r="A3199" t="s">
        <v>648</v>
      </c>
      <c r="B3199" t="s">
        <v>95</v>
      </c>
      <c r="E3199" s="3">
        <f>HYPERLINK("https://sao.dolgi.msk.ru/account/1404201313/", 1404201313)</f>
        <v>1404201313</v>
      </c>
      <c r="F3199">
        <v>0</v>
      </c>
    </row>
    <row r="3200" spans="1:6" hidden="1" x14ac:dyDescent="0.25">
      <c r="A3200" t="s">
        <v>648</v>
      </c>
      <c r="B3200" t="s">
        <v>96</v>
      </c>
      <c r="E3200" s="3">
        <f>HYPERLINK("https://sao.dolgi.msk.ru/account/1404200927/", 1404200927)</f>
        <v>1404200927</v>
      </c>
      <c r="F3200">
        <v>0</v>
      </c>
    </row>
    <row r="3201" spans="1:6" hidden="1" x14ac:dyDescent="0.25">
      <c r="A3201" t="s">
        <v>648</v>
      </c>
      <c r="B3201" t="s">
        <v>97</v>
      </c>
      <c r="E3201" s="3">
        <f>HYPERLINK("https://sao.dolgi.msk.ru/account/1404200556/", 1404200556)</f>
        <v>1404200556</v>
      </c>
      <c r="F3201">
        <v>-1742.51</v>
      </c>
    </row>
    <row r="3202" spans="1:6" x14ac:dyDescent="0.25">
      <c r="A3202" t="s">
        <v>648</v>
      </c>
      <c r="B3202" t="s">
        <v>98</v>
      </c>
      <c r="C3202" s="5" t="str">
        <f>" кв. "&amp;B3202</f>
        <v xml:space="preserve"> кв. 94</v>
      </c>
      <c r="D3202" s="5" t="str">
        <f>CONCATENATE(A3202,C3202)</f>
        <v>Беломорская ул., дом 20 к.3 кв. 94</v>
      </c>
      <c r="E3202" s="3">
        <f>HYPERLINK("https://sao.dolgi.msk.ru/account/1404200206/", 1404200206)</f>
        <v>1404200206</v>
      </c>
      <c r="F3202">
        <v>1609.97</v>
      </c>
    </row>
    <row r="3203" spans="1:6" hidden="1" x14ac:dyDescent="0.25">
      <c r="A3203" t="s">
        <v>648</v>
      </c>
      <c r="B3203" t="s">
        <v>99</v>
      </c>
      <c r="E3203" s="3">
        <f>HYPERLINK("https://sao.dolgi.msk.ru/account/1404201401/", 1404201401)</f>
        <v>1404201401</v>
      </c>
      <c r="F3203">
        <v>0</v>
      </c>
    </row>
    <row r="3204" spans="1:6" hidden="1" x14ac:dyDescent="0.25">
      <c r="A3204" t="s">
        <v>648</v>
      </c>
      <c r="B3204" t="s">
        <v>100</v>
      </c>
      <c r="E3204" s="3">
        <f>HYPERLINK("https://sao.dolgi.msk.ru/account/1404200273/", 1404200273)</f>
        <v>1404200273</v>
      </c>
      <c r="F3204">
        <v>-3415.72</v>
      </c>
    </row>
    <row r="3205" spans="1:6" hidden="1" x14ac:dyDescent="0.25">
      <c r="A3205" t="s">
        <v>648</v>
      </c>
      <c r="B3205" t="s">
        <v>101</v>
      </c>
      <c r="E3205" s="3">
        <f>HYPERLINK("https://sao.dolgi.msk.ru/account/1404199647/", 1404199647)</f>
        <v>1404199647</v>
      </c>
      <c r="F3205">
        <v>-873.57</v>
      </c>
    </row>
    <row r="3206" spans="1:6" hidden="1" x14ac:dyDescent="0.25">
      <c r="A3206" t="s">
        <v>648</v>
      </c>
      <c r="B3206" t="s">
        <v>102</v>
      </c>
      <c r="E3206" s="3">
        <f>HYPERLINK("https://sao.dolgi.msk.ru/account/1404199989/", 1404199989)</f>
        <v>1404199989</v>
      </c>
      <c r="F3206">
        <v>-2371.12</v>
      </c>
    </row>
    <row r="3207" spans="1:6" hidden="1" x14ac:dyDescent="0.25">
      <c r="A3207" t="s">
        <v>648</v>
      </c>
      <c r="B3207" t="s">
        <v>103</v>
      </c>
      <c r="E3207" s="3">
        <f>HYPERLINK("https://sao.dolgi.msk.ru/account/1404201145/", 1404201145)</f>
        <v>1404201145</v>
      </c>
      <c r="F3207">
        <v>-2273.25</v>
      </c>
    </row>
    <row r="3208" spans="1:6" hidden="1" x14ac:dyDescent="0.25">
      <c r="A3208" t="s">
        <v>648</v>
      </c>
      <c r="B3208" t="s">
        <v>104</v>
      </c>
      <c r="E3208" s="3">
        <f>HYPERLINK("https://sao.dolgi.msk.ru/account/1404200695/", 1404200695)</f>
        <v>1404200695</v>
      </c>
      <c r="F3208">
        <v>0</v>
      </c>
    </row>
    <row r="3209" spans="1:6" hidden="1" x14ac:dyDescent="0.25">
      <c r="A3209" t="s">
        <v>648</v>
      </c>
      <c r="B3209" t="s">
        <v>105</v>
      </c>
      <c r="E3209" s="3">
        <f>HYPERLINK("https://sao.dolgi.msk.ru/account/1404199583/", 1404199583)</f>
        <v>1404199583</v>
      </c>
      <c r="F3209">
        <v>-1475.26</v>
      </c>
    </row>
    <row r="3210" spans="1:6" hidden="1" x14ac:dyDescent="0.25">
      <c r="A3210" t="s">
        <v>648</v>
      </c>
      <c r="B3210" t="s">
        <v>106</v>
      </c>
      <c r="E3210" s="3">
        <f>HYPERLINK("https://sao.dolgi.msk.ru/account/1404200177/", 1404200177)</f>
        <v>1404200177</v>
      </c>
      <c r="F3210">
        <v>-2371.12</v>
      </c>
    </row>
    <row r="3211" spans="1:6" hidden="1" x14ac:dyDescent="0.25">
      <c r="A3211" t="s">
        <v>648</v>
      </c>
      <c r="B3211" t="s">
        <v>107</v>
      </c>
      <c r="E3211" s="3">
        <f>HYPERLINK("https://sao.dolgi.msk.ru/account/1404199655/", 1404199655)</f>
        <v>1404199655</v>
      </c>
      <c r="F3211">
        <v>-2690.05</v>
      </c>
    </row>
    <row r="3212" spans="1:6" hidden="1" x14ac:dyDescent="0.25">
      <c r="A3212" t="s">
        <v>648</v>
      </c>
      <c r="B3212" t="s">
        <v>108</v>
      </c>
      <c r="E3212" s="3">
        <f>HYPERLINK("https://sao.dolgi.msk.ru/account/1404199508/", 1404199508)</f>
        <v>1404199508</v>
      </c>
      <c r="F3212">
        <v>-3068.69</v>
      </c>
    </row>
    <row r="3213" spans="1:6" x14ac:dyDescent="0.25">
      <c r="A3213" t="s">
        <v>648</v>
      </c>
      <c r="B3213" t="s">
        <v>109</v>
      </c>
      <c r="C3213" s="5" t="str">
        <f>" кв. "&amp;B3213</f>
        <v xml:space="preserve"> кв. 105</v>
      </c>
      <c r="D3213" s="5" t="str">
        <f>CONCATENATE(A3213,C3213)</f>
        <v>Беломорская ул., дом 20 к.3 кв. 105</v>
      </c>
      <c r="E3213" s="3">
        <f>HYPERLINK("https://sao.dolgi.msk.ru/account/1404201321/", 1404201321)</f>
        <v>1404201321</v>
      </c>
      <c r="F3213">
        <v>1192.45</v>
      </c>
    </row>
    <row r="3214" spans="1:6" hidden="1" x14ac:dyDescent="0.25">
      <c r="A3214" t="s">
        <v>648</v>
      </c>
      <c r="B3214" t="s">
        <v>110</v>
      </c>
      <c r="E3214" s="3">
        <f>HYPERLINK("https://sao.dolgi.msk.ru/account/1404199831/", 1404199831)</f>
        <v>1404199831</v>
      </c>
      <c r="F3214">
        <v>-2371.12</v>
      </c>
    </row>
    <row r="3215" spans="1:6" hidden="1" x14ac:dyDescent="0.25">
      <c r="A3215" t="s">
        <v>648</v>
      </c>
      <c r="B3215" t="s">
        <v>111</v>
      </c>
      <c r="E3215" s="3">
        <f>HYPERLINK("https://sao.dolgi.msk.ru/account/1404199436/", 1404199436)</f>
        <v>1404199436</v>
      </c>
      <c r="F3215">
        <v>-1775.43</v>
      </c>
    </row>
    <row r="3216" spans="1:6" hidden="1" x14ac:dyDescent="0.25">
      <c r="A3216" t="s">
        <v>648</v>
      </c>
      <c r="B3216" t="s">
        <v>111</v>
      </c>
      <c r="E3216" s="3">
        <f>HYPERLINK("https://sao.dolgi.msk.ru/account/1404200804/", 1404200804)</f>
        <v>1404200804</v>
      </c>
      <c r="F3216">
        <v>-288.72000000000003</v>
      </c>
    </row>
    <row r="3217" spans="1:6" x14ac:dyDescent="0.25">
      <c r="A3217" t="s">
        <v>648</v>
      </c>
      <c r="B3217" t="s">
        <v>112</v>
      </c>
      <c r="C3217" s="5" t="str">
        <f>" кв. "&amp;B3217</f>
        <v xml:space="preserve"> кв. 108</v>
      </c>
      <c r="D3217" s="5" t="str">
        <f>CONCATENATE(A3217,C3217)</f>
        <v>Беломорская ул., дом 20 к.3 кв. 108</v>
      </c>
      <c r="E3217" s="3">
        <f>HYPERLINK("https://sao.dolgi.msk.ru/account/1404200214/", 1404200214)</f>
        <v>1404200214</v>
      </c>
      <c r="F3217">
        <v>2343.7800000000002</v>
      </c>
    </row>
    <row r="3218" spans="1:6" hidden="1" x14ac:dyDescent="0.25">
      <c r="A3218" t="s">
        <v>648</v>
      </c>
      <c r="B3218" t="s">
        <v>113</v>
      </c>
      <c r="E3218" s="3">
        <f>HYPERLINK("https://sao.dolgi.msk.ru/account/1404200134/", 1404200134)</f>
        <v>1404200134</v>
      </c>
      <c r="F3218">
        <v>-989.12</v>
      </c>
    </row>
    <row r="3219" spans="1:6" x14ac:dyDescent="0.25">
      <c r="A3219" t="s">
        <v>648</v>
      </c>
      <c r="B3219" t="s">
        <v>114</v>
      </c>
      <c r="C3219" s="5" t="str">
        <f>" кв. "&amp;B3219</f>
        <v xml:space="preserve"> кв. 110</v>
      </c>
      <c r="D3219" s="5" t="str">
        <f>CONCATENATE(A3219,C3219)</f>
        <v>Беломорская ул., дом 20 к.3 кв. 110</v>
      </c>
      <c r="E3219" s="3">
        <f>HYPERLINK("https://sao.dolgi.msk.ru/account/1404200433/", 1404200433)</f>
        <v>1404200433</v>
      </c>
      <c r="F3219">
        <v>611.91</v>
      </c>
    </row>
    <row r="3220" spans="1:6" hidden="1" x14ac:dyDescent="0.25">
      <c r="A3220" t="s">
        <v>648</v>
      </c>
      <c r="B3220" t="s">
        <v>114</v>
      </c>
      <c r="E3220" s="3">
        <f>HYPERLINK("https://sao.dolgi.msk.ru/account/1404200468/", 1404200468)</f>
        <v>1404200468</v>
      </c>
      <c r="F3220">
        <v>-1239.95</v>
      </c>
    </row>
    <row r="3221" spans="1:6" hidden="1" x14ac:dyDescent="0.25">
      <c r="A3221" t="s">
        <v>648</v>
      </c>
      <c r="B3221" t="s">
        <v>115</v>
      </c>
      <c r="E3221" s="3">
        <f>HYPERLINK("https://sao.dolgi.msk.ru/account/1404201022/", 1404201022)</f>
        <v>1404201022</v>
      </c>
      <c r="F3221">
        <v>0</v>
      </c>
    </row>
    <row r="3222" spans="1:6" x14ac:dyDescent="0.25">
      <c r="A3222" t="s">
        <v>648</v>
      </c>
      <c r="B3222" t="s">
        <v>116</v>
      </c>
      <c r="C3222" s="5" t="str">
        <f t="shared" ref="C3222:C3223" si="142">" кв. "&amp;B3222</f>
        <v xml:space="preserve"> кв. 112</v>
      </c>
      <c r="D3222" s="5" t="str">
        <f>CONCATENATE(A3222,C3222)</f>
        <v>Беломорская ул., дом 20 к.3 кв. 112</v>
      </c>
      <c r="E3222" s="3">
        <f>HYPERLINK("https://sao.dolgi.msk.ru/account/1404200353/", 1404200353)</f>
        <v>1404200353</v>
      </c>
      <c r="F3222">
        <v>2346.9499999999998</v>
      </c>
    </row>
    <row r="3223" spans="1:6" x14ac:dyDescent="0.25">
      <c r="A3223" t="s">
        <v>648</v>
      </c>
      <c r="B3223" t="s">
        <v>117</v>
      </c>
      <c r="C3223" s="5" t="str">
        <f t="shared" si="142"/>
        <v xml:space="preserve"> кв. 113</v>
      </c>
      <c r="D3223" s="5" t="str">
        <f>CONCATENATE(A3223,C3223)</f>
        <v>Беломорская ул., дом 20 к.3 кв. 113</v>
      </c>
      <c r="E3223" s="3">
        <f>HYPERLINK("https://sao.dolgi.msk.ru/account/1404199938/", 1404199938)</f>
        <v>1404199938</v>
      </c>
      <c r="F3223">
        <v>1195.6099999999999</v>
      </c>
    </row>
    <row r="3224" spans="1:6" hidden="1" x14ac:dyDescent="0.25">
      <c r="A3224" t="s">
        <v>648</v>
      </c>
      <c r="B3224" t="s">
        <v>118</v>
      </c>
      <c r="E3224" s="3">
        <f>HYPERLINK("https://sao.dolgi.msk.ru/account/1404200492/", 1404200492)</f>
        <v>1404200492</v>
      </c>
      <c r="F3224">
        <v>-2366.5</v>
      </c>
    </row>
    <row r="3225" spans="1:6" hidden="1" x14ac:dyDescent="0.25">
      <c r="A3225" t="s">
        <v>648</v>
      </c>
      <c r="B3225" t="s">
        <v>119</v>
      </c>
      <c r="E3225" s="3">
        <f>HYPERLINK("https://sao.dolgi.msk.ru/account/1404200126/", 1404200126)</f>
        <v>1404200126</v>
      </c>
      <c r="F3225">
        <v>0</v>
      </c>
    </row>
    <row r="3226" spans="1:6" hidden="1" x14ac:dyDescent="0.25">
      <c r="A3226" t="s">
        <v>648</v>
      </c>
      <c r="B3226" t="s">
        <v>120</v>
      </c>
      <c r="E3226" s="3">
        <f>HYPERLINK("https://sao.dolgi.msk.ru/account/1404200898/", 1404200898)</f>
        <v>1404200898</v>
      </c>
      <c r="F3226">
        <v>-2852.12</v>
      </c>
    </row>
    <row r="3227" spans="1:6" x14ac:dyDescent="0.25">
      <c r="A3227" t="s">
        <v>648</v>
      </c>
      <c r="B3227" t="s">
        <v>121</v>
      </c>
      <c r="C3227" s="5" t="str">
        <f t="shared" ref="C3227:C3228" si="143">" кв. "&amp;B3227</f>
        <v xml:space="preserve"> кв. 117</v>
      </c>
      <c r="D3227" s="5" t="str">
        <f>CONCATENATE(A3227,C3227)</f>
        <v>Беломорская ул., дом 20 к.3 кв. 117</v>
      </c>
      <c r="E3227" s="3">
        <f>HYPERLINK("https://sao.dolgi.msk.ru/account/1404200505/", 1404200505)</f>
        <v>1404200505</v>
      </c>
      <c r="F3227">
        <v>599.39</v>
      </c>
    </row>
    <row r="3228" spans="1:6" x14ac:dyDescent="0.25">
      <c r="A3228" t="s">
        <v>648</v>
      </c>
      <c r="B3228" t="s">
        <v>122</v>
      </c>
      <c r="C3228" s="5" t="str">
        <f t="shared" si="143"/>
        <v xml:space="preserve"> кв. 118</v>
      </c>
      <c r="D3228" s="5" t="str">
        <f>CONCATENATE(A3228,C3228)</f>
        <v>Беломорская ул., дом 20 к.3 кв. 118</v>
      </c>
      <c r="E3228" s="3">
        <f>HYPERLINK("https://sao.dolgi.msk.ru/account/1404200388/", 1404200388)</f>
        <v>1404200388</v>
      </c>
      <c r="F3228">
        <v>1619.46</v>
      </c>
    </row>
    <row r="3229" spans="1:6" hidden="1" x14ac:dyDescent="0.25">
      <c r="A3229" t="s">
        <v>648</v>
      </c>
      <c r="B3229" t="s">
        <v>123</v>
      </c>
      <c r="E3229" s="3">
        <f>HYPERLINK("https://sao.dolgi.msk.ru/account/1404200396/", 1404200396)</f>
        <v>1404200396</v>
      </c>
      <c r="F3229">
        <v>-2699.29</v>
      </c>
    </row>
    <row r="3230" spans="1:6" x14ac:dyDescent="0.25">
      <c r="A3230" t="s">
        <v>648</v>
      </c>
      <c r="B3230" t="s">
        <v>124</v>
      </c>
      <c r="C3230" s="5" t="str">
        <f>" кв. "&amp;B3230</f>
        <v xml:space="preserve"> кв. 120</v>
      </c>
      <c r="D3230" s="5" t="str">
        <f>CONCATENATE(A3230,C3230)</f>
        <v>Беломорская ул., дом 20 к.3 кв. 120</v>
      </c>
      <c r="E3230" s="3">
        <f>HYPERLINK("https://sao.dolgi.msk.ru/account/1404199727/", 1404199727)</f>
        <v>1404199727</v>
      </c>
      <c r="F3230">
        <v>2343.7800000000002</v>
      </c>
    </row>
    <row r="3231" spans="1:6" hidden="1" x14ac:dyDescent="0.25">
      <c r="A3231" t="s">
        <v>648</v>
      </c>
      <c r="B3231" t="s">
        <v>125</v>
      </c>
      <c r="E3231" s="3">
        <f>HYPERLINK("https://sao.dolgi.msk.ru/account/1404201233/", 1404201233)</f>
        <v>1404201233</v>
      </c>
      <c r="F3231">
        <v>-984.49</v>
      </c>
    </row>
    <row r="3232" spans="1:6" x14ac:dyDescent="0.25">
      <c r="A3232" t="s">
        <v>648</v>
      </c>
      <c r="B3232" t="s">
        <v>126</v>
      </c>
      <c r="C3232" s="5" t="str">
        <f>" кв. "&amp;B3232</f>
        <v xml:space="preserve"> кв. 122</v>
      </c>
      <c r="D3232" s="5" t="str">
        <f>CONCATENATE(A3232,C3232)</f>
        <v>Беломорская ул., дом 20 к.3 кв. 122</v>
      </c>
      <c r="E3232" s="3">
        <f>HYPERLINK("https://sao.dolgi.msk.ru/account/1404201209/", 1404201209)</f>
        <v>1404201209</v>
      </c>
      <c r="F3232">
        <v>1619.46</v>
      </c>
    </row>
    <row r="3233" spans="1:6" hidden="1" x14ac:dyDescent="0.25">
      <c r="A3233" t="s">
        <v>648</v>
      </c>
      <c r="B3233" t="s">
        <v>127</v>
      </c>
      <c r="E3233" s="3">
        <f>HYPERLINK("https://sao.dolgi.msk.ru/account/1404199479/", 1404199479)</f>
        <v>1404199479</v>
      </c>
      <c r="F3233">
        <v>0</v>
      </c>
    </row>
    <row r="3234" spans="1:6" x14ac:dyDescent="0.25">
      <c r="A3234" t="s">
        <v>648</v>
      </c>
      <c r="B3234" t="s">
        <v>128</v>
      </c>
      <c r="C3234" s="5" t="str">
        <f>" кв. "&amp;B3234</f>
        <v xml:space="preserve"> кв. 124</v>
      </c>
      <c r="D3234" s="5" t="str">
        <f>CONCATENATE(A3234,C3234)</f>
        <v>Беломорская ул., дом 20 к.3 кв. 124</v>
      </c>
      <c r="E3234" s="3">
        <f>HYPERLINK("https://sao.dolgi.msk.ru/account/1404199698/", 1404199698)</f>
        <v>1404199698</v>
      </c>
      <c r="F3234">
        <v>977.37</v>
      </c>
    </row>
    <row r="3235" spans="1:6" hidden="1" x14ac:dyDescent="0.25">
      <c r="A3235" t="s">
        <v>648</v>
      </c>
      <c r="B3235" t="s">
        <v>129</v>
      </c>
      <c r="E3235" s="3">
        <f>HYPERLINK("https://sao.dolgi.msk.ru/account/1404199663/", 1404199663)</f>
        <v>1404199663</v>
      </c>
      <c r="F3235">
        <v>0</v>
      </c>
    </row>
    <row r="3236" spans="1:6" hidden="1" x14ac:dyDescent="0.25">
      <c r="A3236" t="s">
        <v>648</v>
      </c>
      <c r="B3236" t="s">
        <v>130</v>
      </c>
      <c r="E3236" s="3">
        <f>HYPERLINK("https://sao.dolgi.msk.ru/account/1404201196/", 1404201196)</f>
        <v>1404201196</v>
      </c>
      <c r="F3236">
        <v>-1719.42</v>
      </c>
    </row>
    <row r="3237" spans="1:6" hidden="1" x14ac:dyDescent="0.25">
      <c r="A3237" t="s">
        <v>648</v>
      </c>
      <c r="B3237" t="s">
        <v>131</v>
      </c>
      <c r="E3237" s="3">
        <f>HYPERLINK("https://sao.dolgi.msk.ru/account/1404199954/", 1404199954)</f>
        <v>1404199954</v>
      </c>
      <c r="F3237">
        <v>0</v>
      </c>
    </row>
    <row r="3238" spans="1:6" hidden="1" x14ac:dyDescent="0.25">
      <c r="A3238" t="s">
        <v>648</v>
      </c>
      <c r="B3238" t="s">
        <v>132</v>
      </c>
      <c r="E3238" s="3">
        <f>HYPERLINK("https://sao.dolgi.msk.ru/account/1404200708/", 1404200708)</f>
        <v>1404200708</v>
      </c>
      <c r="F3238">
        <v>0</v>
      </c>
    </row>
    <row r="3239" spans="1:6" hidden="1" x14ac:dyDescent="0.25">
      <c r="A3239" t="s">
        <v>648</v>
      </c>
      <c r="B3239" t="s">
        <v>133</v>
      </c>
      <c r="E3239" s="3">
        <f>HYPERLINK("https://sao.dolgi.msk.ru/account/1404200548/", 1404200548)</f>
        <v>1404200548</v>
      </c>
      <c r="F3239">
        <v>-961.4</v>
      </c>
    </row>
    <row r="3240" spans="1:6" hidden="1" x14ac:dyDescent="0.25">
      <c r="A3240" t="s">
        <v>648</v>
      </c>
      <c r="B3240" t="s">
        <v>134</v>
      </c>
      <c r="E3240" s="3">
        <f>HYPERLINK("https://sao.dolgi.msk.ru/account/1404200679/", 1404200679)</f>
        <v>1404200679</v>
      </c>
      <c r="F3240">
        <v>0</v>
      </c>
    </row>
    <row r="3241" spans="1:6" x14ac:dyDescent="0.25">
      <c r="A3241" t="s">
        <v>648</v>
      </c>
      <c r="B3241" t="s">
        <v>135</v>
      </c>
      <c r="C3241" s="5" t="str">
        <f>" кв. "&amp;B3241</f>
        <v xml:space="preserve"> кв. 131</v>
      </c>
      <c r="D3241" s="5" t="str">
        <f>CONCATENATE(A3241,C3241)</f>
        <v>Беломорская ул., дом 20 к.3 кв. 131</v>
      </c>
      <c r="E3241" s="3">
        <f>HYPERLINK("https://sao.dolgi.msk.ru/account/1404200441/", 1404200441)</f>
        <v>1404200441</v>
      </c>
      <c r="F3241">
        <v>1863.01</v>
      </c>
    </row>
    <row r="3242" spans="1:6" hidden="1" x14ac:dyDescent="0.25">
      <c r="A3242" t="s">
        <v>648</v>
      </c>
      <c r="B3242" t="s">
        <v>136</v>
      </c>
      <c r="E3242" s="3">
        <f>HYPERLINK("https://sao.dolgi.msk.ru/account/1404199575/", 1404199575)</f>
        <v>1404199575</v>
      </c>
      <c r="F3242">
        <v>-2007.14</v>
      </c>
    </row>
    <row r="3243" spans="1:6" hidden="1" x14ac:dyDescent="0.25">
      <c r="A3243" t="s">
        <v>648</v>
      </c>
      <c r="B3243" t="s">
        <v>137</v>
      </c>
      <c r="E3243" s="3">
        <f>HYPERLINK("https://sao.dolgi.msk.ru/account/1404201241/", 1404201241)</f>
        <v>1404201241</v>
      </c>
      <c r="F3243">
        <v>0</v>
      </c>
    </row>
    <row r="3244" spans="1:6" hidden="1" x14ac:dyDescent="0.25">
      <c r="A3244" t="s">
        <v>648</v>
      </c>
      <c r="B3244" t="s">
        <v>138</v>
      </c>
      <c r="E3244" s="3">
        <f>HYPERLINK("https://sao.dolgi.msk.ru/account/1404201006/", 1404201006)</f>
        <v>1404201006</v>
      </c>
      <c r="F3244">
        <v>-1719.42</v>
      </c>
    </row>
    <row r="3245" spans="1:6" hidden="1" x14ac:dyDescent="0.25">
      <c r="A3245" t="s">
        <v>648</v>
      </c>
      <c r="B3245" t="s">
        <v>139</v>
      </c>
      <c r="E3245" s="3">
        <f>HYPERLINK("https://sao.dolgi.msk.ru/account/1404201364/", 1404201364)</f>
        <v>1404201364</v>
      </c>
      <c r="F3245">
        <v>0</v>
      </c>
    </row>
    <row r="3246" spans="1:6" hidden="1" x14ac:dyDescent="0.25">
      <c r="A3246" t="s">
        <v>648</v>
      </c>
      <c r="B3246" t="s">
        <v>140</v>
      </c>
      <c r="E3246" s="3">
        <f>HYPERLINK("https://sao.dolgi.msk.ru/account/1404199866/", 1404199866)</f>
        <v>1404199866</v>
      </c>
      <c r="F3246">
        <v>-2676.18</v>
      </c>
    </row>
    <row r="3247" spans="1:6" hidden="1" x14ac:dyDescent="0.25">
      <c r="A3247" t="s">
        <v>648</v>
      </c>
      <c r="B3247" t="s">
        <v>141</v>
      </c>
      <c r="E3247" s="3">
        <f>HYPERLINK("https://sao.dolgi.msk.ru/account/1404200783/", 1404200783)</f>
        <v>1404200783</v>
      </c>
      <c r="F3247">
        <v>-1724.04</v>
      </c>
    </row>
    <row r="3248" spans="1:6" hidden="1" x14ac:dyDescent="0.25">
      <c r="A3248" t="s">
        <v>648</v>
      </c>
      <c r="B3248" t="s">
        <v>142</v>
      </c>
      <c r="E3248" s="3">
        <f>HYPERLINK("https://sao.dolgi.msk.ru/account/1404201452/", 1404201452)</f>
        <v>1404201452</v>
      </c>
      <c r="F3248">
        <v>-1719.42</v>
      </c>
    </row>
    <row r="3249" spans="1:6" hidden="1" x14ac:dyDescent="0.25">
      <c r="A3249" t="s">
        <v>648</v>
      </c>
      <c r="B3249" t="s">
        <v>143</v>
      </c>
      <c r="E3249" s="3">
        <f>HYPERLINK("https://sao.dolgi.msk.ru/account/1404201428/", 1404201428)</f>
        <v>1404201428</v>
      </c>
      <c r="F3249">
        <v>-2730.73</v>
      </c>
    </row>
    <row r="3250" spans="1:6" x14ac:dyDescent="0.25">
      <c r="A3250" t="s">
        <v>648</v>
      </c>
      <c r="B3250" t="s">
        <v>144</v>
      </c>
      <c r="C3250" s="5" t="str">
        <f t="shared" ref="C3250:C3251" si="144">" кв. "&amp;B3250</f>
        <v xml:space="preserve"> кв. 140</v>
      </c>
      <c r="D3250" s="5" t="str">
        <f>CONCATENATE(A3250,C3250)</f>
        <v>Беломорская ул., дом 20 к.3 кв. 140</v>
      </c>
      <c r="E3250" s="3">
        <f>HYPERLINK("https://sao.dolgi.msk.ru/account/1404200986/", 1404200986)</f>
        <v>1404200986</v>
      </c>
      <c r="F3250">
        <v>915.69</v>
      </c>
    </row>
    <row r="3251" spans="1:6" x14ac:dyDescent="0.25">
      <c r="A3251" t="s">
        <v>648</v>
      </c>
      <c r="B3251" t="s">
        <v>145</v>
      </c>
      <c r="C3251" s="5" t="str">
        <f t="shared" si="144"/>
        <v xml:space="preserve"> кв. 141</v>
      </c>
      <c r="D3251" s="5" t="str">
        <f>CONCATENATE(A3251,C3251)</f>
        <v>Беломорская ул., дом 20 к.3 кв. 141</v>
      </c>
      <c r="E3251" s="3">
        <f>HYPERLINK("https://sao.dolgi.msk.ru/account/1404200302/", 1404200302)</f>
        <v>1404200302</v>
      </c>
      <c r="F3251">
        <v>1179.8</v>
      </c>
    </row>
    <row r="3252" spans="1:6" hidden="1" x14ac:dyDescent="0.25">
      <c r="A3252" t="s">
        <v>648</v>
      </c>
      <c r="B3252" t="s">
        <v>146</v>
      </c>
      <c r="E3252" s="3">
        <f>HYPERLINK("https://sao.dolgi.msk.ru/account/1404201065/", 1404201065)</f>
        <v>1404201065</v>
      </c>
      <c r="F3252">
        <v>0</v>
      </c>
    </row>
    <row r="3253" spans="1:6" hidden="1" x14ac:dyDescent="0.25">
      <c r="A3253" t="s">
        <v>648</v>
      </c>
      <c r="B3253" t="s">
        <v>147</v>
      </c>
      <c r="E3253" s="3">
        <f>HYPERLINK("https://sao.dolgi.msk.ru/account/1404200791/", 1404200791)</f>
        <v>1404200791</v>
      </c>
      <c r="F3253">
        <v>-1361.21</v>
      </c>
    </row>
    <row r="3254" spans="1:6" x14ac:dyDescent="0.25">
      <c r="A3254" t="s">
        <v>648</v>
      </c>
      <c r="B3254" t="s">
        <v>148</v>
      </c>
      <c r="C3254" s="5" t="str">
        <f>" кв. "&amp;B3254</f>
        <v xml:space="preserve"> кв. 144</v>
      </c>
      <c r="D3254" s="5" t="str">
        <f>CONCATENATE(A3254,C3254)</f>
        <v>Беломорская ул., дом 20 к.3 кв. 144</v>
      </c>
      <c r="E3254" s="3">
        <f>HYPERLINK("https://sao.dolgi.msk.ru/account/1404199997/", 1404199997)</f>
        <v>1404199997</v>
      </c>
      <c r="F3254">
        <v>1529.2</v>
      </c>
    </row>
    <row r="3255" spans="1:6" hidden="1" x14ac:dyDescent="0.25">
      <c r="A3255" t="s">
        <v>648</v>
      </c>
      <c r="B3255" t="s">
        <v>149</v>
      </c>
      <c r="E3255" s="3">
        <f>HYPERLINK("https://sao.dolgi.msk.ru/account/1404200329/", 1404200329)</f>
        <v>1404200329</v>
      </c>
      <c r="F3255">
        <v>-574.69000000000005</v>
      </c>
    </row>
    <row r="3256" spans="1:6" hidden="1" x14ac:dyDescent="0.25">
      <c r="A3256" t="s">
        <v>648</v>
      </c>
      <c r="B3256" t="s">
        <v>149</v>
      </c>
      <c r="E3256" s="3">
        <f>HYPERLINK("https://sao.dolgi.msk.ru/account/1404201081/", 1404201081)</f>
        <v>1404201081</v>
      </c>
      <c r="F3256">
        <v>-1149.3499999999999</v>
      </c>
    </row>
    <row r="3257" spans="1:6" hidden="1" x14ac:dyDescent="0.25">
      <c r="A3257" t="s">
        <v>648</v>
      </c>
      <c r="B3257" t="s">
        <v>150</v>
      </c>
      <c r="E3257" s="3">
        <f>HYPERLINK("https://sao.dolgi.msk.ru/account/1404200003/", 1404200003)</f>
        <v>1404200003</v>
      </c>
      <c r="F3257">
        <v>-1719.42</v>
      </c>
    </row>
    <row r="3258" spans="1:6" hidden="1" x14ac:dyDescent="0.25">
      <c r="A3258" t="s">
        <v>648</v>
      </c>
      <c r="B3258" t="s">
        <v>151</v>
      </c>
      <c r="E3258" s="3">
        <f>HYPERLINK("https://sao.dolgi.msk.ru/account/1404199946/", 1404199946)</f>
        <v>1404199946</v>
      </c>
      <c r="F3258">
        <v>-2722.41</v>
      </c>
    </row>
    <row r="3259" spans="1:6" hidden="1" x14ac:dyDescent="0.25">
      <c r="A3259" t="s">
        <v>648</v>
      </c>
      <c r="B3259" t="s">
        <v>152</v>
      </c>
      <c r="E3259" s="3">
        <f>HYPERLINK("https://sao.dolgi.msk.ru/account/1404200716/", 1404200716)</f>
        <v>1404200716</v>
      </c>
      <c r="F3259">
        <v>0</v>
      </c>
    </row>
    <row r="3260" spans="1:6" hidden="1" x14ac:dyDescent="0.25">
      <c r="A3260" t="s">
        <v>648</v>
      </c>
      <c r="B3260" t="s">
        <v>153</v>
      </c>
      <c r="E3260" s="3">
        <f>HYPERLINK("https://sao.dolgi.msk.ru/account/1404199719/", 1404199719)</f>
        <v>1404199719</v>
      </c>
      <c r="F3260">
        <v>0</v>
      </c>
    </row>
    <row r="3261" spans="1:6" hidden="1" x14ac:dyDescent="0.25">
      <c r="A3261" t="s">
        <v>648</v>
      </c>
      <c r="B3261" t="s">
        <v>154</v>
      </c>
      <c r="E3261" s="3">
        <f>HYPERLINK("https://sao.dolgi.msk.ru/account/1404201305/", 1404201305)</f>
        <v>1404201305</v>
      </c>
      <c r="F3261">
        <v>-1478.68</v>
      </c>
    </row>
    <row r="3262" spans="1:6" hidden="1" x14ac:dyDescent="0.25">
      <c r="A3262" t="s">
        <v>648</v>
      </c>
      <c r="B3262" t="s">
        <v>155</v>
      </c>
      <c r="E3262" s="3">
        <f>HYPERLINK("https://sao.dolgi.msk.ru/account/1404200847/", 1404200847)</f>
        <v>1404200847</v>
      </c>
      <c r="F3262">
        <v>-2722.41</v>
      </c>
    </row>
    <row r="3263" spans="1:6" hidden="1" x14ac:dyDescent="0.25">
      <c r="A3263" t="s">
        <v>648</v>
      </c>
      <c r="B3263" t="s">
        <v>156</v>
      </c>
      <c r="E3263" s="3">
        <f>HYPERLINK("https://sao.dolgi.msk.ru/account/1404201399/", 1404201399)</f>
        <v>1404201399</v>
      </c>
      <c r="F3263">
        <v>-2394.58</v>
      </c>
    </row>
    <row r="3264" spans="1:6" hidden="1" x14ac:dyDescent="0.25">
      <c r="A3264" t="s">
        <v>648</v>
      </c>
      <c r="B3264" t="s">
        <v>157</v>
      </c>
      <c r="E3264" s="3">
        <f>HYPERLINK("https://sao.dolgi.msk.ru/account/1404200169/", 1404200169)</f>
        <v>1404200169</v>
      </c>
      <c r="F3264">
        <v>-1747.13</v>
      </c>
    </row>
    <row r="3265" spans="1:6" hidden="1" x14ac:dyDescent="0.25">
      <c r="A3265" t="s">
        <v>648</v>
      </c>
      <c r="B3265" t="s">
        <v>158</v>
      </c>
      <c r="E3265" s="3">
        <f>HYPERLINK("https://sao.dolgi.msk.ru/account/1404199911/", 1404199911)</f>
        <v>1404199911</v>
      </c>
      <c r="F3265">
        <v>-1747.13</v>
      </c>
    </row>
    <row r="3266" spans="1:6" hidden="1" x14ac:dyDescent="0.25">
      <c r="A3266" t="s">
        <v>648</v>
      </c>
      <c r="B3266" t="s">
        <v>159</v>
      </c>
      <c r="E3266" s="3">
        <f>HYPERLINK("https://sao.dolgi.msk.ru/account/1404200089/", 1404200089)</f>
        <v>1404200089</v>
      </c>
      <c r="F3266">
        <v>-2722.41</v>
      </c>
    </row>
    <row r="3267" spans="1:6" hidden="1" x14ac:dyDescent="0.25">
      <c r="A3267" t="s">
        <v>648</v>
      </c>
      <c r="B3267" t="s">
        <v>160</v>
      </c>
      <c r="E3267" s="3">
        <f>HYPERLINK("https://sao.dolgi.msk.ru/account/1404200775/", 1404200775)</f>
        <v>1404200775</v>
      </c>
      <c r="F3267">
        <v>-1913.54</v>
      </c>
    </row>
    <row r="3268" spans="1:6" x14ac:dyDescent="0.25">
      <c r="A3268" t="s">
        <v>648</v>
      </c>
      <c r="B3268" t="s">
        <v>161</v>
      </c>
      <c r="C3268" s="5" t="str">
        <f>" кв. "&amp;B3268</f>
        <v xml:space="preserve"> кв. 157</v>
      </c>
      <c r="D3268" s="5" t="str">
        <f>CONCATENATE(A3268,C3268)</f>
        <v>Беломорская ул., дом 20 к.3 кв. 157</v>
      </c>
      <c r="E3268" s="3">
        <f>HYPERLINK("https://sao.dolgi.msk.ru/account/1404200046/", 1404200046)</f>
        <v>1404200046</v>
      </c>
      <c r="F3268">
        <v>409.64</v>
      </c>
    </row>
    <row r="3269" spans="1:6" hidden="1" x14ac:dyDescent="0.25">
      <c r="A3269" t="s">
        <v>648</v>
      </c>
      <c r="B3269" t="s">
        <v>162</v>
      </c>
      <c r="E3269" s="3">
        <f>HYPERLINK("https://sao.dolgi.msk.ru/account/1404199639/", 1404199639)</f>
        <v>1404199639</v>
      </c>
      <c r="F3269">
        <v>-1471.37</v>
      </c>
    </row>
    <row r="3270" spans="1:6" hidden="1" x14ac:dyDescent="0.25">
      <c r="A3270" t="s">
        <v>648</v>
      </c>
      <c r="B3270" t="s">
        <v>163</v>
      </c>
      <c r="E3270" s="3">
        <f>HYPERLINK("https://sao.dolgi.msk.ru/account/1404199903/", 1404199903)</f>
        <v>1404199903</v>
      </c>
      <c r="F3270">
        <v>0</v>
      </c>
    </row>
    <row r="3271" spans="1:6" hidden="1" x14ac:dyDescent="0.25">
      <c r="A3271" t="s">
        <v>648</v>
      </c>
      <c r="B3271" t="s">
        <v>164</v>
      </c>
      <c r="E3271" s="3">
        <f>HYPERLINK("https://sao.dolgi.msk.ru/account/1404201153/", 1404201153)</f>
        <v>1404201153</v>
      </c>
      <c r="F3271">
        <v>-2253.7800000000002</v>
      </c>
    </row>
    <row r="3272" spans="1:6" x14ac:dyDescent="0.25">
      <c r="A3272" t="s">
        <v>648</v>
      </c>
      <c r="B3272" t="s">
        <v>165</v>
      </c>
      <c r="C3272" s="5" t="str">
        <f t="shared" ref="C3272:C3274" si="145">" кв. "&amp;B3272</f>
        <v xml:space="preserve"> кв. 161</v>
      </c>
      <c r="D3272" s="5" t="str">
        <f>CONCATENATE(A3272,C3272)</f>
        <v>Беломорская ул., дом 20 к.3 кв. 161</v>
      </c>
      <c r="E3272" s="3">
        <f>HYPERLINK("https://sao.dolgi.msk.ru/account/1404201137/", 1404201137)</f>
        <v>1404201137</v>
      </c>
      <c r="F3272">
        <v>1198.78</v>
      </c>
    </row>
    <row r="3273" spans="1:6" x14ac:dyDescent="0.25">
      <c r="A3273" t="s">
        <v>648</v>
      </c>
      <c r="B3273" t="s">
        <v>166</v>
      </c>
      <c r="C3273" s="5" t="str">
        <f t="shared" si="145"/>
        <v xml:space="preserve"> кв. 162</v>
      </c>
      <c r="D3273" s="5" t="str">
        <f>CONCATENATE(A3273,C3273)</f>
        <v>Беломорская ул., дом 20 к.3 кв. 162</v>
      </c>
      <c r="E3273" s="3">
        <f>HYPERLINK("https://sao.dolgi.msk.ru/account/1404200572/", 1404200572)</f>
        <v>1404200572</v>
      </c>
      <c r="F3273">
        <v>1195.6099999999999</v>
      </c>
    </row>
    <row r="3274" spans="1:6" x14ac:dyDescent="0.25">
      <c r="A3274" t="s">
        <v>648</v>
      </c>
      <c r="B3274" t="s">
        <v>167</v>
      </c>
      <c r="C3274" s="5" t="str">
        <f t="shared" si="145"/>
        <v xml:space="preserve"> кв. 163</v>
      </c>
      <c r="D3274" s="5" t="str">
        <f>CONCATENATE(A3274,C3274)</f>
        <v>Беломорская ул., дом 20 к.3 кв. 163</v>
      </c>
      <c r="E3274" s="3">
        <f>HYPERLINK("https://sao.dolgi.msk.ru/account/1404200521/", 1404200521)</f>
        <v>1404200521</v>
      </c>
      <c r="F3274">
        <v>1863.01</v>
      </c>
    </row>
    <row r="3275" spans="1:6" hidden="1" x14ac:dyDescent="0.25">
      <c r="A3275" t="s">
        <v>648</v>
      </c>
      <c r="B3275" t="s">
        <v>168</v>
      </c>
      <c r="E3275" s="3">
        <f>HYPERLINK("https://sao.dolgi.msk.ru/account/1404201188/", 1404201188)</f>
        <v>1404201188</v>
      </c>
      <c r="F3275">
        <v>-2230.15</v>
      </c>
    </row>
    <row r="3276" spans="1:6" x14ac:dyDescent="0.25">
      <c r="A3276" t="s">
        <v>648</v>
      </c>
      <c r="B3276" t="s">
        <v>169</v>
      </c>
      <c r="C3276" s="5" t="str">
        <f>" кв. "&amp;B3276</f>
        <v xml:space="preserve"> кв. 165</v>
      </c>
      <c r="D3276" s="5" t="str">
        <f>CONCATENATE(A3276,C3276)</f>
        <v>Беломорская ул., дом 20 к.3 кв. 165</v>
      </c>
      <c r="E3276" s="3">
        <f>HYPERLINK("https://sao.dolgi.msk.ru/account/1404199532/", 1404199532)</f>
        <v>1404199532</v>
      </c>
      <c r="F3276">
        <v>1195.6099999999999</v>
      </c>
    </row>
    <row r="3277" spans="1:6" hidden="1" x14ac:dyDescent="0.25">
      <c r="A3277" t="s">
        <v>648</v>
      </c>
      <c r="B3277" t="s">
        <v>650</v>
      </c>
      <c r="E3277" s="3">
        <f>HYPERLINK("https://sao.dolgi.msk.ru/account/1404200636/", 1404200636)</f>
        <v>1404200636</v>
      </c>
      <c r="F3277">
        <v>-4464.92</v>
      </c>
    </row>
    <row r="3278" spans="1:6" hidden="1" x14ac:dyDescent="0.25">
      <c r="A3278" t="s">
        <v>648</v>
      </c>
      <c r="B3278" t="s">
        <v>172</v>
      </c>
      <c r="E3278" s="3">
        <f>HYPERLINK("https://sao.dolgi.msk.ru/account/1404199778/", 1404199778)</f>
        <v>1404199778</v>
      </c>
      <c r="F3278">
        <v>-2253.7800000000002</v>
      </c>
    </row>
    <row r="3279" spans="1:6" hidden="1" x14ac:dyDescent="0.25">
      <c r="A3279" t="s">
        <v>648</v>
      </c>
      <c r="B3279" t="s">
        <v>173</v>
      </c>
      <c r="E3279" s="3">
        <f>HYPERLINK("https://sao.dolgi.msk.ru/account/1404201436/", 1404201436)</f>
        <v>1404201436</v>
      </c>
      <c r="F3279">
        <v>-1742.51</v>
      </c>
    </row>
    <row r="3280" spans="1:6" hidden="1" x14ac:dyDescent="0.25">
      <c r="A3280" t="s">
        <v>648</v>
      </c>
      <c r="B3280" t="s">
        <v>174</v>
      </c>
      <c r="E3280" s="3">
        <f>HYPERLINK("https://sao.dolgi.msk.ru/account/1404200943/", 1404200943)</f>
        <v>1404200943</v>
      </c>
      <c r="F3280">
        <v>0</v>
      </c>
    </row>
    <row r="3281" spans="1:6" hidden="1" x14ac:dyDescent="0.25">
      <c r="A3281" t="s">
        <v>648</v>
      </c>
      <c r="B3281" t="s">
        <v>175</v>
      </c>
      <c r="E3281" s="3">
        <f>HYPERLINK("https://sao.dolgi.msk.ru/account/1404201348/", 1404201348)</f>
        <v>1404201348</v>
      </c>
      <c r="F3281">
        <v>-3964.23</v>
      </c>
    </row>
    <row r="3282" spans="1:6" hidden="1" x14ac:dyDescent="0.25">
      <c r="A3282" t="s">
        <v>651</v>
      </c>
      <c r="B3282" t="s">
        <v>5</v>
      </c>
      <c r="E3282" s="3">
        <f>HYPERLINK("https://sao.dolgi.msk.ru/account/1404238159/", 1404238159)</f>
        <v>1404238159</v>
      </c>
      <c r="F3282">
        <v>-1533.86</v>
      </c>
    </row>
    <row r="3283" spans="1:6" hidden="1" x14ac:dyDescent="0.25">
      <c r="A3283" t="s">
        <v>651</v>
      </c>
      <c r="B3283" t="s">
        <v>6</v>
      </c>
      <c r="E3283" s="3">
        <f>HYPERLINK("https://sao.dolgi.msk.ru/account/1404239346/", 1404239346)</f>
        <v>1404239346</v>
      </c>
      <c r="F3283">
        <v>-2128.5</v>
      </c>
    </row>
    <row r="3284" spans="1:6" hidden="1" x14ac:dyDescent="0.25">
      <c r="A3284" t="s">
        <v>651</v>
      </c>
      <c r="B3284" t="s">
        <v>7</v>
      </c>
      <c r="E3284" s="3">
        <f>HYPERLINK("https://sao.dolgi.msk.ru/account/1404238001/", 1404238001)</f>
        <v>1404238001</v>
      </c>
      <c r="F3284">
        <v>-2132.61</v>
      </c>
    </row>
    <row r="3285" spans="1:6" hidden="1" x14ac:dyDescent="0.25">
      <c r="A3285" t="s">
        <v>651</v>
      </c>
      <c r="B3285" t="s">
        <v>8</v>
      </c>
      <c r="E3285" s="3">
        <f>HYPERLINK("https://sao.dolgi.msk.ru/account/1404240187/", 1404240187)</f>
        <v>1404240187</v>
      </c>
      <c r="F3285">
        <v>0</v>
      </c>
    </row>
    <row r="3286" spans="1:6" x14ac:dyDescent="0.25">
      <c r="A3286" t="s">
        <v>651</v>
      </c>
      <c r="B3286" t="s">
        <v>652</v>
      </c>
      <c r="C3286" s="5" t="str">
        <f>" кв. "&amp;B3286</f>
        <v xml:space="preserve"> кв. 5-10</v>
      </c>
      <c r="D3286" s="5" t="str">
        <f>CONCATENATE(A3286,C3286)</f>
        <v>Беломорская ул., дом 24 к.3 кв. 5-10</v>
      </c>
      <c r="E3286" s="3">
        <f>HYPERLINK("https://sao.dolgi.msk.ru/account/1404238482/", 1404238482)</f>
        <v>1404238482</v>
      </c>
      <c r="F3286">
        <v>3631.12</v>
      </c>
    </row>
    <row r="3287" spans="1:6" hidden="1" x14ac:dyDescent="0.25">
      <c r="A3287" t="s">
        <v>651</v>
      </c>
      <c r="B3287" t="s">
        <v>10</v>
      </c>
      <c r="E3287" s="3">
        <f>HYPERLINK("https://sao.dolgi.msk.ru/account/1404239602/", 1404239602)</f>
        <v>1404239602</v>
      </c>
      <c r="F3287">
        <v>-2777.86</v>
      </c>
    </row>
    <row r="3288" spans="1:6" x14ac:dyDescent="0.25">
      <c r="A3288" t="s">
        <v>651</v>
      </c>
      <c r="B3288" t="s">
        <v>11</v>
      </c>
      <c r="C3288" s="5" t="str">
        <f>" кв. "&amp;B3288</f>
        <v xml:space="preserve"> кв. 7</v>
      </c>
      <c r="D3288" s="5" t="str">
        <f>CONCATENATE(A3288,C3288)</f>
        <v>Беломорская ул., дом 24 к.3 кв. 7</v>
      </c>
      <c r="E3288" s="3">
        <f>HYPERLINK("https://sao.dolgi.msk.ru/account/1404240443/", 1404240443)</f>
        <v>1404240443</v>
      </c>
      <c r="F3288">
        <v>1613.13</v>
      </c>
    </row>
    <row r="3289" spans="1:6" hidden="1" x14ac:dyDescent="0.25">
      <c r="A3289" t="s">
        <v>651</v>
      </c>
      <c r="B3289" t="s">
        <v>12</v>
      </c>
      <c r="E3289" s="3">
        <f>HYPERLINK("https://sao.dolgi.msk.ru/account/1404240363/", 1404240363)</f>
        <v>1404240363</v>
      </c>
      <c r="F3289">
        <v>0</v>
      </c>
    </row>
    <row r="3290" spans="1:6" hidden="1" x14ac:dyDescent="0.25">
      <c r="A3290" t="s">
        <v>651</v>
      </c>
      <c r="B3290" t="s">
        <v>13</v>
      </c>
      <c r="E3290" s="3">
        <f>HYPERLINK("https://sao.dolgi.msk.ru/account/1404239047/", 1404239047)</f>
        <v>1404239047</v>
      </c>
      <c r="F3290">
        <v>0</v>
      </c>
    </row>
    <row r="3291" spans="1:6" x14ac:dyDescent="0.25">
      <c r="A3291" t="s">
        <v>651</v>
      </c>
      <c r="B3291" t="s">
        <v>15</v>
      </c>
      <c r="C3291" s="5" t="str">
        <f t="shared" ref="C3291:C3292" si="146">" кв. "&amp;B3291</f>
        <v xml:space="preserve"> кв. 11</v>
      </c>
      <c r="D3291" s="5" t="str">
        <f>CONCATENATE(A3291,C3291)</f>
        <v>Беломорская ул., дом 24 к.3 кв. 11</v>
      </c>
      <c r="E3291" s="3">
        <f>HYPERLINK("https://sao.dolgi.msk.ru/account/1404239258/", 1404239258)</f>
        <v>1404239258</v>
      </c>
      <c r="F3291">
        <v>1249.3900000000001</v>
      </c>
    </row>
    <row r="3292" spans="1:6" x14ac:dyDescent="0.25">
      <c r="A3292" t="s">
        <v>651</v>
      </c>
      <c r="B3292" t="s">
        <v>16</v>
      </c>
      <c r="C3292" s="5" t="str">
        <f t="shared" si="146"/>
        <v xml:space="preserve"> кв. 12</v>
      </c>
      <c r="D3292" s="5" t="str">
        <f>CONCATENATE(A3292,C3292)</f>
        <v>Беломорская ул., дом 24 к.3 кв. 12</v>
      </c>
      <c r="E3292" s="3">
        <f>HYPERLINK("https://sao.dolgi.msk.ru/account/1404240371/", 1404240371)</f>
        <v>1404240371</v>
      </c>
      <c r="F3292">
        <v>1126.02</v>
      </c>
    </row>
    <row r="3293" spans="1:6" hidden="1" x14ac:dyDescent="0.25">
      <c r="A3293" t="s">
        <v>651</v>
      </c>
      <c r="B3293" t="s">
        <v>17</v>
      </c>
      <c r="E3293" s="3">
        <f>HYPERLINK("https://sao.dolgi.msk.ru/account/1404240312/", 1404240312)</f>
        <v>1404240312</v>
      </c>
      <c r="F3293">
        <v>-5410.64</v>
      </c>
    </row>
    <row r="3294" spans="1:6" x14ac:dyDescent="0.25">
      <c r="A3294" t="s">
        <v>651</v>
      </c>
      <c r="B3294" t="s">
        <v>18</v>
      </c>
      <c r="C3294" s="5" t="str">
        <f t="shared" ref="C3294:C3295" si="147">" кв. "&amp;B3294</f>
        <v xml:space="preserve"> кв. 14</v>
      </c>
      <c r="D3294" s="5" t="str">
        <f>CONCATENATE(A3294,C3294)</f>
        <v>Беломорская ул., дом 24 к.3 кв. 14</v>
      </c>
      <c r="E3294" s="3">
        <f>HYPERLINK("https://sao.dolgi.msk.ru/account/1404238714/", 1404238714)</f>
        <v>1404238714</v>
      </c>
      <c r="F3294">
        <v>1366.42</v>
      </c>
    </row>
    <row r="3295" spans="1:6" x14ac:dyDescent="0.25">
      <c r="A3295" t="s">
        <v>651</v>
      </c>
      <c r="B3295" t="s">
        <v>19</v>
      </c>
      <c r="C3295" s="5" t="str">
        <f t="shared" si="147"/>
        <v xml:space="preserve"> кв. 15</v>
      </c>
      <c r="D3295" s="5" t="str">
        <f>CONCATENATE(A3295,C3295)</f>
        <v>Беломорская ул., дом 24 к.3 кв. 15</v>
      </c>
      <c r="E3295" s="3">
        <f>HYPERLINK("https://sao.dolgi.msk.ru/account/1404238095/", 1404238095)</f>
        <v>1404238095</v>
      </c>
      <c r="F3295">
        <v>1878.82</v>
      </c>
    </row>
    <row r="3296" spans="1:6" hidden="1" x14ac:dyDescent="0.25">
      <c r="A3296" t="s">
        <v>651</v>
      </c>
      <c r="B3296" t="s">
        <v>20</v>
      </c>
      <c r="E3296" s="3">
        <f>HYPERLINK("https://sao.dolgi.msk.ru/account/1404240398/", 1404240398)</f>
        <v>1404240398</v>
      </c>
      <c r="F3296">
        <v>-1617.73</v>
      </c>
    </row>
    <row r="3297" spans="1:6" hidden="1" x14ac:dyDescent="0.25">
      <c r="A3297" t="s">
        <v>651</v>
      </c>
      <c r="B3297" t="s">
        <v>21</v>
      </c>
      <c r="E3297" s="3">
        <f>HYPERLINK("https://sao.dolgi.msk.ru/account/1404239864/", 1404239864)</f>
        <v>1404239864</v>
      </c>
      <c r="F3297">
        <v>-2361.87</v>
      </c>
    </row>
    <row r="3298" spans="1:6" hidden="1" x14ac:dyDescent="0.25">
      <c r="A3298" t="s">
        <v>651</v>
      </c>
      <c r="B3298" t="s">
        <v>22</v>
      </c>
      <c r="E3298" s="3">
        <f>HYPERLINK("https://sao.dolgi.msk.ru/account/1404239661/", 1404239661)</f>
        <v>1404239661</v>
      </c>
      <c r="F3298">
        <v>-3161.49</v>
      </c>
    </row>
    <row r="3299" spans="1:6" hidden="1" x14ac:dyDescent="0.25">
      <c r="A3299" t="s">
        <v>651</v>
      </c>
      <c r="B3299" t="s">
        <v>23</v>
      </c>
      <c r="E3299" s="3">
        <f>HYPERLINK("https://sao.dolgi.msk.ru/account/1404238925/", 1404238925)</f>
        <v>1404238925</v>
      </c>
      <c r="F3299">
        <v>-2802.71</v>
      </c>
    </row>
    <row r="3300" spans="1:6" hidden="1" x14ac:dyDescent="0.25">
      <c r="A3300" t="s">
        <v>651</v>
      </c>
      <c r="B3300" t="s">
        <v>24</v>
      </c>
      <c r="E3300" s="3">
        <f>HYPERLINK("https://sao.dolgi.msk.ru/account/1404239987/", 1404239987)</f>
        <v>1404239987</v>
      </c>
      <c r="F3300">
        <v>-1498.62</v>
      </c>
    </row>
    <row r="3301" spans="1:6" hidden="1" x14ac:dyDescent="0.25">
      <c r="A3301" t="s">
        <v>651</v>
      </c>
      <c r="B3301" t="s">
        <v>25</v>
      </c>
      <c r="E3301" s="3">
        <f>HYPERLINK("https://sao.dolgi.msk.ru/account/1404240494/", 1404240494)</f>
        <v>1404240494</v>
      </c>
      <c r="F3301">
        <v>-2375.7399999999998</v>
      </c>
    </row>
    <row r="3302" spans="1:6" x14ac:dyDescent="0.25">
      <c r="A3302" t="s">
        <v>651</v>
      </c>
      <c r="B3302" t="s">
        <v>26</v>
      </c>
      <c r="C3302" s="5" t="str">
        <f>" кв. "&amp;B3302</f>
        <v xml:space="preserve"> кв. 22</v>
      </c>
      <c r="D3302" s="5" t="str">
        <f>CONCATENATE(A3302,C3302)</f>
        <v>Беломорская ул., дом 24 к.3 кв. 22</v>
      </c>
      <c r="E3302" s="3">
        <f>HYPERLINK("https://sao.dolgi.msk.ru/account/1404239303/", 1404239303)</f>
        <v>1404239303</v>
      </c>
      <c r="F3302">
        <v>2163.4899999999998</v>
      </c>
    </row>
    <row r="3303" spans="1:6" hidden="1" x14ac:dyDescent="0.25">
      <c r="A3303" t="s">
        <v>651</v>
      </c>
      <c r="B3303" t="s">
        <v>27</v>
      </c>
      <c r="E3303" s="3">
        <f>HYPERLINK("https://sao.dolgi.msk.ru/account/1404240507/", 1404240507)</f>
        <v>1404240507</v>
      </c>
      <c r="F3303">
        <v>-1229.47</v>
      </c>
    </row>
    <row r="3304" spans="1:6" x14ac:dyDescent="0.25">
      <c r="A3304" t="s">
        <v>651</v>
      </c>
      <c r="B3304" t="s">
        <v>28</v>
      </c>
      <c r="C3304" s="5" t="str">
        <f>" кв. "&amp;B3304</f>
        <v xml:space="preserve"> кв. 24</v>
      </c>
      <c r="D3304" s="5" t="str">
        <f>CONCATENATE(A3304,C3304)</f>
        <v>Беломорская ул., дом 24 к.3 кв. 24</v>
      </c>
      <c r="E3304" s="3">
        <f>HYPERLINK("https://sao.dolgi.msk.ru/account/1404238343/", 1404238343)</f>
        <v>1404238343</v>
      </c>
      <c r="F3304">
        <v>1875.66</v>
      </c>
    </row>
    <row r="3305" spans="1:6" hidden="1" x14ac:dyDescent="0.25">
      <c r="A3305" t="s">
        <v>651</v>
      </c>
      <c r="B3305" t="s">
        <v>29</v>
      </c>
      <c r="E3305" s="3">
        <f>HYPERLINK("https://sao.dolgi.msk.ru/account/1404239266/", 1404239266)</f>
        <v>1404239266</v>
      </c>
      <c r="F3305">
        <v>-1626.97</v>
      </c>
    </row>
    <row r="3306" spans="1:6" hidden="1" x14ac:dyDescent="0.25">
      <c r="A3306" t="s">
        <v>651</v>
      </c>
      <c r="B3306" t="s">
        <v>30</v>
      </c>
      <c r="E3306" s="3">
        <f>HYPERLINK("https://sao.dolgi.msk.ru/account/1404237949/", 1404237949)</f>
        <v>1404237949</v>
      </c>
      <c r="F3306">
        <v>-2398.86</v>
      </c>
    </row>
    <row r="3307" spans="1:6" hidden="1" x14ac:dyDescent="0.25">
      <c r="A3307" t="s">
        <v>651</v>
      </c>
      <c r="B3307" t="s">
        <v>31</v>
      </c>
      <c r="E3307" s="3">
        <f>HYPERLINK("https://sao.dolgi.msk.ru/account/1404238511/", 1404238511)</f>
        <v>1404238511</v>
      </c>
      <c r="F3307">
        <v>-3170.74</v>
      </c>
    </row>
    <row r="3308" spans="1:6" hidden="1" x14ac:dyDescent="0.25">
      <c r="A3308" t="s">
        <v>651</v>
      </c>
      <c r="B3308" t="s">
        <v>32</v>
      </c>
      <c r="E3308" s="3">
        <f>HYPERLINK("https://sao.dolgi.msk.ru/account/1404238255/", 1404238255)</f>
        <v>1404238255</v>
      </c>
      <c r="F3308">
        <v>-3189.23</v>
      </c>
    </row>
    <row r="3309" spans="1:6" hidden="1" x14ac:dyDescent="0.25">
      <c r="A3309" t="s">
        <v>651</v>
      </c>
      <c r="B3309" t="s">
        <v>33</v>
      </c>
      <c r="E3309" s="3">
        <f>HYPERLINK("https://sao.dolgi.msk.ru/account/1404239397/", 1404239397)</f>
        <v>1404239397</v>
      </c>
      <c r="F3309">
        <v>-1770.25</v>
      </c>
    </row>
    <row r="3310" spans="1:6" hidden="1" x14ac:dyDescent="0.25">
      <c r="A3310" t="s">
        <v>651</v>
      </c>
      <c r="B3310" t="s">
        <v>34</v>
      </c>
      <c r="E3310" s="3">
        <f>HYPERLINK("https://sao.dolgi.msk.ru/account/1404238933/", 1404238933)</f>
        <v>1404238933</v>
      </c>
      <c r="F3310">
        <v>-2384.9899999999998</v>
      </c>
    </row>
    <row r="3311" spans="1:6" hidden="1" x14ac:dyDescent="0.25">
      <c r="A3311" t="s">
        <v>651</v>
      </c>
      <c r="B3311" t="s">
        <v>35</v>
      </c>
      <c r="E3311" s="3">
        <f>HYPERLINK("https://sao.dolgi.msk.ru/account/1404239338/", 1404239338)</f>
        <v>1404239338</v>
      </c>
      <c r="F3311">
        <v>0</v>
      </c>
    </row>
    <row r="3312" spans="1:6" hidden="1" x14ac:dyDescent="0.25">
      <c r="A3312" t="s">
        <v>651</v>
      </c>
      <c r="B3312" t="s">
        <v>36</v>
      </c>
      <c r="E3312" s="3">
        <f>HYPERLINK("https://sao.dolgi.msk.ru/account/1404239274/", 1404239274)</f>
        <v>1404239274</v>
      </c>
      <c r="F3312">
        <v>-1992.11</v>
      </c>
    </row>
    <row r="3313" spans="1:6" hidden="1" x14ac:dyDescent="0.25">
      <c r="A3313" t="s">
        <v>651</v>
      </c>
      <c r="B3313" t="s">
        <v>37</v>
      </c>
      <c r="E3313" s="3">
        <f>HYPERLINK("https://sao.dolgi.msk.ru/account/1404240064/", 1404240064)</f>
        <v>1404240064</v>
      </c>
      <c r="F3313">
        <v>-2731.63</v>
      </c>
    </row>
    <row r="3314" spans="1:6" x14ac:dyDescent="0.25">
      <c r="A3314" t="s">
        <v>651</v>
      </c>
      <c r="B3314" t="s">
        <v>38</v>
      </c>
      <c r="C3314" s="5" t="str">
        <f>" кв. "&amp;B3314</f>
        <v xml:space="preserve"> кв. 34</v>
      </c>
      <c r="D3314" s="5" t="str">
        <f>CONCATENATE(A3314,C3314)</f>
        <v>Беломорская ул., дом 24 к.3 кв. 34</v>
      </c>
      <c r="E3314" s="3">
        <f>HYPERLINK("https://sao.dolgi.msk.ru/account/1404237957/", 1404237957)</f>
        <v>1404237957</v>
      </c>
      <c r="F3314">
        <v>1632.11</v>
      </c>
    </row>
    <row r="3315" spans="1:6" hidden="1" x14ac:dyDescent="0.25">
      <c r="A3315" t="s">
        <v>651</v>
      </c>
      <c r="B3315" t="s">
        <v>39</v>
      </c>
      <c r="E3315" s="3">
        <f>HYPERLINK("https://sao.dolgi.msk.ru/account/1404238175/", 1404238175)</f>
        <v>1404238175</v>
      </c>
      <c r="F3315">
        <v>-1631.59</v>
      </c>
    </row>
    <row r="3316" spans="1:6" hidden="1" x14ac:dyDescent="0.25">
      <c r="A3316" t="s">
        <v>651</v>
      </c>
      <c r="B3316" t="s">
        <v>40</v>
      </c>
      <c r="E3316" s="3">
        <f>HYPERLINK("https://sao.dolgi.msk.ru/account/1404240072/", 1404240072)</f>
        <v>1404240072</v>
      </c>
      <c r="F3316">
        <v>-2288.88</v>
      </c>
    </row>
    <row r="3317" spans="1:6" hidden="1" x14ac:dyDescent="0.25">
      <c r="A3317" t="s">
        <v>651</v>
      </c>
      <c r="B3317" t="s">
        <v>41</v>
      </c>
      <c r="E3317" s="3">
        <f>HYPERLINK("https://sao.dolgi.msk.ru/account/1404238503/", 1404238503)</f>
        <v>1404238503</v>
      </c>
      <c r="F3317">
        <v>-3184.61</v>
      </c>
    </row>
    <row r="3318" spans="1:6" x14ac:dyDescent="0.25">
      <c r="A3318" t="s">
        <v>651</v>
      </c>
      <c r="B3318" t="s">
        <v>42</v>
      </c>
      <c r="C3318" s="5" t="str">
        <f t="shared" ref="C3318:C3320" si="148">" кв. "&amp;B3318</f>
        <v xml:space="preserve"> кв. 38</v>
      </c>
      <c r="D3318" s="5" t="str">
        <f>CONCATENATE(A3318,C3318)</f>
        <v>Беломорская ул., дом 24 к.3 кв. 38</v>
      </c>
      <c r="E3318" s="3">
        <f>HYPERLINK("https://sao.dolgi.msk.ru/account/1404238722/", 1404238722)</f>
        <v>1404238722</v>
      </c>
      <c r="F3318">
        <v>689.53</v>
      </c>
    </row>
    <row r="3319" spans="1:6" x14ac:dyDescent="0.25">
      <c r="A3319" t="s">
        <v>651</v>
      </c>
      <c r="B3319" t="s">
        <v>43</v>
      </c>
      <c r="C3319" s="5" t="str">
        <f t="shared" si="148"/>
        <v xml:space="preserve"> кв. 39</v>
      </c>
      <c r="D3319" s="5" t="str">
        <f>CONCATENATE(A3319,C3319)</f>
        <v>Беломорская ул., дом 24 к.3 кв. 39</v>
      </c>
      <c r="E3319" s="3">
        <f>HYPERLINK("https://sao.dolgi.msk.ru/account/1404237965/", 1404237965)</f>
        <v>1404237965</v>
      </c>
      <c r="F3319">
        <v>1628.95</v>
      </c>
    </row>
    <row r="3320" spans="1:6" x14ac:dyDescent="0.25">
      <c r="A3320" t="s">
        <v>651</v>
      </c>
      <c r="B3320" t="s">
        <v>44</v>
      </c>
      <c r="C3320" s="5" t="str">
        <f t="shared" si="148"/>
        <v xml:space="preserve"> кв. 40</v>
      </c>
      <c r="D3320" s="5" t="str">
        <f>CONCATENATE(A3320,C3320)</f>
        <v>Беломорская ул., дом 24 к.3 кв. 40</v>
      </c>
      <c r="E3320" s="3">
        <f>HYPERLINK("https://sao.dolgi.msk.ru/account/1404238183/", 1404238183)</f>
        <v>1404238183</v>
      </c>
      <c r="F3320">
        <v>2160.33</v>
      </c>
    </row>
    <row r="3321" spans="1:6" hidden="1" x14ac:dyDescent="0.25">
      <c r="A3321" t="s">
        <v>651</v>
      </c>
      <c r="B3321" t="s">
        <v>45</v>
      </c>
      <c r="E3321" s="3">
        <f>HYPERLINK("https://sao.dolgi.msk.ru/account/1404239709/", 1404239709)</f>
        <v>1404239709</v>
      </c>
      <c r="F3321">
        <v>-3608.42</v>
      </c>
    </row>
    <row r="3322" spans="1:6" hidden="1" x14ac:dyDescent="0.25">
      <c r="A3322" t="s">
        <v>651</v>
      </c>
      <c r="B3322" t="s">
        <v>46</v>
      </c>
      <c r="E3322" s="3">
        <f>HYPERLINK("https://sao.dolgi.msk.ru/account/1404239848/", 1404239848)</f>
        <v>1404239848</v>
      </c>
      <c r="F3322">
        <v>0</v>
      </c>
    </row>
    <row r="3323" spans="1:6" hidden="1" x14ac:dyDescent="0.25">
      <c r="A3323" t="s">
        <v>651</v>
      </c>
      <c r="B3323" t="s">
        <v>47</v>
      </c>
      <c r="E3323" s="3">
        <f>HYPERLINK("https://sao.dolgi.msk.ru/account/1404238191/", 1404238191)</f>
        <v>1404238191</v>
      </c>
      <c r="F3323">
        <v>-2384.9899999999998</v>
      </c>
    </row>
    <row r="3324" spans="1:6" x14ac:dyDescent="0.25">
      <c r="A3324" t="s">
        <v>651</v>
      </c>
      <c r="B3324" t="s">
        <v>48</v>
      </c>
      <c r="C3324" s="5" t="str">
        <f t="shared" ref="C3324:C3325" si="149">" кв. "&amp;B3324</f>
        <v xml:space="preserve"> кв. 44</v>
      </c>
      <c r="D3324" s="5" t="str">
        <f>CONCATENATE(A3324,C3324)</f>
        <v>Беломорская ул., дом 24 к.3 кв. 44</v>
      </c>
      <c r="E3324" s="3">
        <f>HYPERLINK("https://sao.dolgi.msk.ru/account/1404240603/", 1404240603)</f>
        <v>1404240603</v>
      </c>
      <c r="F3324">
        <v>1632.11</v>
      </c>
    </row>
    <row r="3325" spans="1:6" x14ac:dyDescent="0.25">
      <c r="A3325" t="s">
        <v>651</v>
      </c>
      <c r="B3325" t="s">
        <v>49</v>
      </c>
      <c r="C3325" s="5" t="str">
        <f t="shared" si="149"/>
        <v xml:space="preserve"> кв. 45</v>
      </c>
      <c r="D3325" s="5" t="str">
        <f>CONCATENATE(A3325,C3325)</f>
        <v>Беломорская ул., дом 24 к.3 кв. 45</v>
      </c>
      <c r="E3325" s="3">
        <f>HYPERLINK("https://sao.dolgi.msk.ru/account/1404238554/", 1404238554)</f>
        <v>1404238554</v>
      </c>
      <c r="F3325">
        <v>2169.8200000000002</v>
      </c>
    </row>
    <row r="3326" spans="1:6" hidden="1" x14ac:dyDescent="0.25">
      <c r="A3326" t="s">
        <v>651</v>
      </c>
      <c r="B3326" t="s">
        <v>50</v>
      </c>
      <c r="E3326" s="3">
        <f>HYPERLINK("https://sao.dolgi.msk.ru/account/1404240654/", 1404240654)</f>
        <v>1404240654</v>
      </c>
      <c r="F3326">
        <v>-3017.06</v>
      </c>
    </row>
    <row r="3327" spans="1:6" x14ac:dyDescent="0.25">
      <c r="A3327" t="s">
        <v>651</v>
      </c>
      <c r="B3327" t="s">
        <v>51</v>
      </c>
      <c r="C3327" s="5" t="str">
        <f>" кв. "&amp;B3327</f>
        <v xml:space="preserve"> кв. 47</v>
      </c>
      <c r="D3327" s="5" t="str">
        <f>CONCATENATE(A3327,C3327)</f>
        <v>Беломорская ул., дом 24 к.3 кв. 47</v>
      </c>
      <c r="E3327" s="3">
        <f>HYPERLINK("https://sao.dolgi.msk.ru/account/1404240339/", 1404240339)</f>
        <v>1404240339</v>
      </c>
      <c r="F3327">
        <v>1214.5899999999999</v>
      </c>
    </row>
    <row r="3328" spans="1:6" hidden="1" x14ac:dyDescent="0.25">
      <c r="A3328" t="s">
        <v>651</v>
      </c>
      <c r="B3328" t="s">
        <v>52</v>
      </c>
      <c r="E3328" s="3">
        <f>HYPERLINK("https://sao.dolgi.msk.ru/account/1404240013/", 1404240013)</f>
        <v>1404240013</v>
      </c>
      <c r="F3328">
        <v>-1903.49</v>
      </c>
    </row>
    <row r="3329" spans="1:6" x14ac:dyDescent="0.25">
      <c r="A3329" t="s">
        <v>651</v>
      </c>
      <c r="B3329" t="s">
        <v>53</v>
      </c>
      <c r="C3329" s="5" t="str">
        <f>" кв. "&amp;B3329</f>
        <v xml:space="preserve"> кв. 49</v>
      </c>
      <c r="D3329" s="5" t="str">
        <f>CONCATENATE(A3329,C3329)</f>
        <v>Беломорская ул., дом 24 к.3 кв. 49</v>
      </c>
      <c r="E3329" s="3">
        <f>HYPERLINK("https://sao.dolgi.msk.ru/account/1404238984/", 1404238984)</f>
        <v>1404238984</v>
      </c>
      <c r="F3329">
        <v>2154</v>
      </c>
    </row>
    <row r="3330" spans="1:6" hidden="1" x14ac:dyDescent="0.25">
      <c r="A3330" t="s">
        <v>651</v>
      </c>
      <c r="B3330" t="s">
        <v>54</v>
      </c>
      <c r="E3330" s="3">
        <f>HYPERLINK("https://sao.dolgi.msk.ru/account/1404238845/", 1404238845)</f>
        <v>1404238845</v>
      </c>
      <c r="F3330">
        <v>-1996.74</v>
      </c>
    </row>
    <row r="3331" spans="1:6" hidden="1" x14ac:dyDescent="0.25">
      <c r="A3331" t="s">
        <v>651</v>
      </c>
      <c r="B3331" t="s">
        <v>55</v>
      </c>
      <c r="E3331" s="3">
        <f>HYPERLINK("https://sao.dolgi.msk.ru/account/1404240291/", 1404240291)</f>
        <v>1404240291</v>
      </c>
      <c r="F3331">
        <v>-1845.16</v>
      </c>
    </row>
    <row r="3332" spans="1:6" hidden="1" x14ac:dyDescent="0.25">
      <c r="A3332" t="s">
        <v>651</v>
      </c>
      <c r="B3332" t="s">
        <v>56</v>
      </c>
      <c r="E3332" s="3">
        <f>HYPERLINK("https://sao.dolgi.msk.ru/account/1404239952/", 1404239952)</f>
        <v>1404239952</v>
      </c>
      <c r="F3332">
        <v>-2389.61</v>
      </c>
    </row>
    <row r="3333" spans="1:6" hidden="1" x14ac:dyDescent="0.25">
      <c r="A3333" t="s">
        <v>651</v>
      </c>
      <c r="B3333" t="s">
        <v>57</v>
      </c>
      <c r="E3333" s="3">
        <f>HYPERLINK("https://sao.dolgi.msk.ru/account/1404238562/", 1404238562)</f>
        <v>1404238562</v>
      </c>
      <c r="F3333">
        <v>-2394.23</v>
      </c>
    </row>
    <row r="3334" spans="1:6" hidden="1" x14ac:dyDescent="0.25">
      <c r="A3334" t="s">
        <v>651</v>
      </c>
      <c r="B3334" t="s">
        <v>58</v>
      </c>
      <c r="E3334" s="3">
        <f>HYPERLINK("https://sao.dolgi.msk.ru/account/1404239928/", 1404239928)</f>
        <v>1404239928</v>
      </c>
      <c r="F3334">
        <v>-3179.98</v>
      </c>
    </row>
    <row r="3335" spans="1:6" hidden="1" x14ac:dyDescent="0.25">
      <c r="A3335" t="s">
        <v>651</v>
      </c>
      <c r="B3335" t="s">
        <v>59</v>
      </c>
      <c r="E3335" s="3">
        <f>HYPERLINK("https://sao.dolgi.msk.ru/account/1404239055/", 1404239055)</f>
        <v>1404239055</v>
      </c>
      <c r="F3335">
        <v>-3179.98</v>
      </c>
    </row>
    <row r="3336" spans="1:6" hidden="1" x14ac:dyDescent="0.25">
      <c r="A3336" t="s">
        <v>651</v>
      </c>
      <c r="B3336" t="s">
        <v>60</v>
      </c>
      <c r="E3336" s="3">
        <f>HYPERLINK("https://sao.dolgi.msk.ru/account/1404238757/", 1404238757)</f>
        <v>1404238757</v>
      </c>
      <c r="F3336">
        <v>-1770.25</v>
      </c>
    </row>
    <row r="3337" spans="1:6" hidden="1" x14ac:dyDescent="0.25">
      <c r="A3337" t="s">
        <v>651</v>
      </c>
      <c r="B3337" t="s">
        <v>61</v>
      </c>
      <c r="E3337" s="3">
        <f>HYPERLINK("https://sao.dolgi.msk.ru/account/1404237922/", 1404237922)</f>
        <v>1404237922</v>
      </c>
      <c r="F3337">
        <v>0</v>
      </c>
    </row>
    <row r="3338" spans="1:6" x14ac:dyDescent="0.25">
      <c r="A3338" t="s">
        <v>651</v>
      </c>
      <c r="B3338" t="s">
        <v>653</v>
      </c>
      <c r="C3338" s="5" t="str">
        <f>" кв. "&amp;B3338</f>
        <v xml:space="preserve"> кв. 58-94</v>
      </c>
      <c r="D3338" s="5" t="str">
        <f>CONCATENATE(A3338,C3338)</f>
        <v>Беломорская ул., дом 24 к.3 кв. 58-94</v>
      </c>
      <c r="E3338" s="3">
        <f>HYPERLINK("https://sao.dolgi.msk.ru/account/1404239418/", 1404239418)</f>
        <v>1404239418</v>
      </c>
      <c r="F3338">
        <v>2150.84</v>
      </c>
    </row>
    <row r="3339" spans="1:6" hidden="1" x14ac:dyDescent="0.25">
      <c r="A3339" t="s">
        <v>651</v>
      </c>
      <c r="B3339" t="s">
        <v>63</v>
      </c>
      <c r="E3339" s="3">
        <f>HYPERLINK("https://sao.dolgi.msk.ru/account/1404239688/", 1404239688)</f>
        <v>1404239688</v>
      </c>
      <c r="F3339">
        <v>-2001.36</v>
      </c>
    </row>
    <row r="3340" spans="1:6" hidden="1" x14ac:dyDescent="0.25">
      <c r="A3340" t="s">
        <v>651</v>
      </c>
      <c r="B3340" t="s">
        <v>64</v>
      </c>
      <c r="E3340" s="3">
        <f>HYPERLINK("https://sao.dolgi.msk.ru/account/1404238765/", 1404238765)</f>
        <v>1404238765</v>
      </c>
      <c r="F3340">
        <v>-2750.13</v>
      </c>
    </row>
    <row r="3341" spans="1:6" x14ac:dyDescent="0.25">
      <c r="A3341" t="s">
        <v>651</v>
      </c>
      <c r="B3341" t="s">
        <v>65</v>
      </c>
      <c r="C3341" s="5" t="str">
        <f>" кв. "&amp;B3341</f>
        <v xml:space="preserve"> кв. 61</v>
      </c>
      <c r="D3341" s="5" t="str">
        <f>CONCATENATE(A3341,C3341)</f>
        <v>Беломорская ул., дом 24 к.3 кв. 61</v>
      </c>
      <c r="E3341" s="3">
        <f>HYPERLINK("https://sao.dolgi.msk.ru/account/1404238124/", 1404238124)</f>
        <v>1404238124</v>
      </c>
      <c r="F3341">
        <v>1628.95</v>
      </c>
    </row>
    <row r="3342" spans="1:6" hidden="1" x14ac:dyDescent="0.25">
      <c r="A3342" t="s">
        <v>651</v>
      </c>
      <c r="B3342" t="s">
        <v>66</v>
      </c>
      <c r="E3342" s="3">
        <f>HYPERLINK("https://sao.dolgi.msk.ru/account/1404238589/", 1404238589)</f>
        <v>1404238589</v>
      </c>
      <c r="F3342">
        <v>-1486.65</v>
      </c>
    </row>
    <row r="3343" spans="1:6" hidden="1" x14ac:dyDescent="0.25">
      <c r="A3343" t="s">
        <v>651</v>
      </c>
      <c r="B3343" t="s">
        <v>67</v>
      </c>
      <c r="E3343" s="3">
        <f>HYPERLINK("https://sao.dolgi.msk.ru/account/1404238853/", 1404238853)</f>
        <v>1404238853</v>
      </c>
      <c r="F3343">
        <v>-5447.83</v>
      </c>
    </row>
    <row r="3344" spans="1:6" hidden="1" x14ac:dyDescent="0.25">
      <c r="A3344" t="s">
        <v>651</v>
      </c>
      <c r="B3344" t="s">
        <v>68</v>
      </c>
      <c r="E3344" s="3">
        <f>HYPERLINK("https://sao.dolgi.msk.ru/account/1404238677/", 1404238677)</f>
        <v>1404238677</v>
      </c>
      <c r="F3344">
        <v>-3184.61</v>
      </c>
    </row>
    <row r="3345" spans="1:6" hidden="1" x14ac:dyDescent="0.25">
      <c r="A3345" t="s">
        <v>651</v>
      </c>
      <c r="B3345" t="s">
        <v>69</v>
      </c>
      <c r="E3345" s="3">
        <f>HYPERLINK("https://sao.dolgi.msk.ru/account/1404240638/", 1404240638)</f>
        <v>1404240638</v>
      </c>
      <c r="F3345">
        <v>-1012.23</v>
      </c>
    </row>
    <row r="3346" spans="1:6" hidden="1" x14ac:dyDescent="0.25">
      <c r="A3346" t="s">
        <v>651</v>
      </c>
      <c r="B3346" t="s">
        <v>70</v>
      </c>
      <c r="E3346" s="3">
        <f>HYPERLINK("https://sao.dolgi.msk.ru/account/1404239194/", 1404239194)</f>
        <v>1404239194</v>
      </c>
      <c r="F3346">
        <v>-2380.37</v>
      </c>
    </row>
    <row r="3347" spans="1:6" hidden="1" x14ac:dyDescent="0.25">
      <c r="A3347" t="s">
        <v>651</v>
      </c>
      <c r="B3347" t="s">
        <v>71</v>
      </c>
      <c r="E3347" s="3">
        <f>HYPERLINK("https://sao.dolgi.msk.ru/account/1404239282/", 1404239282)</f>
        <v>1404239282</v>
      </c>
      <c r="F3347">
        <v>0</v>
      </c>
    </row>
    <row r="3348" spans="1:6" hidden="1" x14ac:dyDescent="0.25">
      <c r="A3348" t="s">
        <v>651</v>
      </c>
      <c r="B3348" t="s">
        <v>72</v>
      </c>
      <c r="E3348" s="3">
        <f>HYPERLINK("https://sao.dolgi.msk.ru/account/1404240574/", 1404240574)</f>
        <v>1404240574</v>
      </c>
      <c r="F3348">
        <v>-1087.1400000000001</v>
      </c>
    </row>
    <row r="3349" spans="1:6" hidden="1" x14ac:dyDescent="0.25">
      <c r="A3349" t="s">
        <v>651</v>
      </c>
      <c r="B3349" t="s">
        <v>73</v>
      </c>
      <c r="E3349" s="3">
        <f>HYPERLINK("https://sao.dolgi.msk.ru/account/1404240195/", 1404240195)</f>
        <v>1404240195</v>
      </c>
      <c r="F3349">
        <v>-2740.88</v>
      </c>
    </row>
    <row r="3350" spans="1:6" hidden="1" x14ac:dyDescent="0.25">
      <c r="A3350" t="s">
        <v>651</v>
      </c>
      <c r="B3350" t="s">
        <v>74</v>
      </c>
      <c r="E3350" s="3">
        <f>HYPERLINK("https://sao.dolgi.msk.ru/account/1404240304/", 1404240304)</f>
        <v>1404240304</v>
      </c>
      <c r="F3350">
        <v>-1626.97</v>
      </c>
    </row>
    <row r="3351" spans="1:6" hidden="1" x14ac:dyDescent="0.25">
      <c r="A3351" t="s">
        <v>651</v>
      </c>
      <c r="B3351" t="s">
        <v>75</v>
      </c>
      <c r="E3351" s="3">
        <f>HYPERLINK("https://sao.dolgi.msk.ru/account/1404239979/", 1404239979)</f>
        <v>1404239979</v>
      </c>
      <c r="F3351">
        <v>-2380.37</v>
      </c>
    </row>
    <row r="3352" spans="1:6" hidden="1" x14ac:dyDescent="0.25">
      <c r="A3352" t="s">
        <v>651</v>
      </c>
      <c r="B3352" t="s">
        <v>76</v>
      </c>
      <c r="E3352" s="3">
        <f>HYPERLINK("https://sao.dolgi.msk.ru/account/1404238108/", 1404238108)</f>
        <v>1404238108</v>
      </c>
      <c r="F3352">
        <v>-3170.73</v>
      </c>
    </row>
    <row r="3353" spans="1:6" hidden="1" x14ac:dyDescent="0.25">
      <c r="A3353" t="s">
        <v>651</v>
      </c>
      <c r="B3353" t="s">
        <v>77</v>
      </c>
      <c r="E3353" s="3">
        <f>HYPERLINK("https://sao.dolgi.msk.ru/account/1404238749/", 1404238749)</f>
        <v>1404238749</v>
      </c>
      <c r="F3353">
        <v>-761.64</v>
      </c>
    </row>
    <row r="3354" spans="1:6" hidden="1" x14ac:dyDescent="0.25">
      <c r="A3354" t="s">
        <v>651</v>
      </c>
      <c r="B3354" t="s">
        <v>78</v>
      </c>
      <c r="E3354" s="3">
        <f>HYPERLINK("https://sao.dolgi.msk.ru/account/1404239485/", 1404239485)</f>
        <v>1404239485</v>
      </c>
      <c r="F3354">
        <v>-922.24</v>
      </c>
    </row>
    <row r="3355" spans="1:6" hidden="1" x14ac:dyDescent="0.25">
      <c r="A3355" t="s">
        <v>651</v>
      </c>
      <c r="B3355" t="s">
        <v>79</v>
      </c>
      <c r="E3355" s="3">
        <f>HYPERLINK("https://sao.dolgi.msk.ru/account/1404239901/", 1404239901)</f>
        <v>1404239901</v>
      </c>
      <c r="F3355">
        <v>0</v>
      </c>
    </row>
    <row r="3356" spans="1:6" hidden="1" x14ac:dyDescent="0.25">
      <c r="A3356" t="s">
        <v>651</v>
      </c>
      <c r="B3356" t="s">
        <v>80</v>
      </c>
      <c r="E3356" s="3">
        <f>HYPERLINK("https://sao.dolgi.msk.ru/account/1404238474/", 1404238474)</f>
        <v>1404238474</v>
      </c>
      <c r="F3356">
        <v>-1466.22</v>
      </c>
    </row>
    <row r="3357" spans="1:6" hidden="1" x14ac:dyDescent="0.25">
      <c r="A3357" t="s">
        <v>651</v>
      </c>
      <c r="B3357" t="s">
        <v>80</v>
      </c>
      <c r="E3357" s="3">
        <f>HYPERLINK("https://sao.dolgi.msk.ru/account/1404240275/", 1404240275)</f>
        <v>1404240275</v>
      </c>
      <c r="F3357">
        <v>-786.9</v>
      </c>
    </row>
    <row r="3358" spans="1:6" hidden="1" x14ac:dyDescent="0.25">
      <c r="A3358" t="s">
        <v>651</v>
      </c>
      <c r="B3358" t="s">
        <v>81</v>
      </c>
      <c r="E3358" s="3">
        <f>HYPERLINK("https://sao.dolgi.msk.ru/account/1404239151/", 1404239151)</f>
        <v>1404239151</v>
      </c>
      <c r="F3358">
        <v>-2005.98</v>
      </c>
    </row>
    <row r="3359" spans="1:6" hidden="1" x14ac:dyDescent="0.25">
      <c r="A3359" t="s">
        <v>651</v>
      </c>
      <c r="B3359" t="s">
        <v>82</v>
      </c>
      <c r="E3359" s="3">
        <f>HYPERLINK("https://sao.dolgi.msk.ru/account/1404240435/", 1404240435)</f>
        <v>1404240435</v>
      </c>
      <c r="F3359">
        <v>-2750.13</v>
      </c>
    </row>
    <row r="3360" spans="1:6" hidden="1" x14ac:dyDescent="0.25">
      <c r="A3360" t="s">
        <v>651</v>
      </c>
      <c r="B3360" t="s">
        <v>83</v>
      </c>
      <c r="E3360" s="3">
        <f>HYPERLINK("https://sao.dolgi.msk.ru/account/1404238423/", 1404238423)</f>
        <v>1404238423</v>
      </c>
      <c r="F3360">
        <v>0</v>
      </c>
    </row>
    <row r="3361" spans="1:6" hidden="1" x14ac:dyDescent="0.25">
      <c r="A3361" t="s">
        <v>651</v>
      </c>
      <c r="B3361" t="s">
        <v>84</v>
      </c>
      <c r="E3361" s="3">
        <f>HYPERLINK("https://sao.dolgi.msk.ru/account/1404239063/", 1404239063)</f>
        <v>1404239063</v>
      </c>
      <c r="F3361">
        <v>-1352.1</v>
      </c>
    </row>
    <row r="3362" spans="1:6" hidden="1" x14ac:dyDescent="0.25">
      <c r="A3362" t="s">
        <v>651</v>
      </c>
      <c r="B3362" t="s">
        <v>85</v>
      </c>
      <c r="E3362" s="3">
        <f>HYPERLINK("https://sao.dolgi.msk.ru/account/1404240283/", 1404240283)</f>
        <v>1404240283</v>
      </c>
      <c r="F3362">
        <v>-3179.98</v>
      </c>
    </row>
    <row r="3363" spans="1:6" hidden="1" x14ac:dyDescent="0.25">
      <c r="A3363" t="s">
        <v>651</v>
      </c>
      <c r="B3363" t="s">
        <v>86</v>
      </c>
      <c r="E3363" s="3">
        <f>HYPERLINK("https://sao.dolgi.msk.ru/account/1404238802/", 1404238802)</f>
        <v>1404238802</v>
      </c>
      <c r="F3363">
        <v>-2421.9699999999998</v>
      </c>
    </row>
    <row r="3364" spans="1:6" x14ac:dyDescent="0.25">
      <c r="A3364" t="s">
        <v>651</v>
      </c>
      <c r="B3364" t="s">
        <v>87</v>
      </c>
      <c r="C3364" s="5" t="str">
        <f t="shared" ref="C3364:C3365" si="150">" кв. "&amp;B3364</f>
        <v xml:space="preserve"> кв. 83</v>
      </c>
      <c r="D3364" s="5" t="str">
        <f>CONCATENATE(A3364,C3364)</f>
        <v>Беломорская ул., дом 24 к.3 кв. 83</v>
      </c>
      <c r="E3364" s="3">
        <f>HYPERLINK("https://sao.dolgi.msk.ru/account/1404239493/", 1404239493)</f>
        <v>1404239493</v>
      </c>
      <c r="F3364">
        <v>1217.76</v>
      </c>
    </row>
    <row r="3365" spans="1:6" x14ac:dyDescent="0.25">
      <c r="A3365" t="s">
        <v>651</v>
      </c>
      <c r="B3365" t="s">
        <v>88</v>
      </c>
      <c r="C3365" s="5" t="str">
        <f t="shared" si="150"/>
        <v xml:space="preserve"> кв. 84</v>
      </c>
      <c r="D3365" s="5" t="str">
        <f>CONCATENATE(A3365,C3365)</f>
        <v>Беломорская ул., дом 24 к.3 кв. 84</v>
      </c>
      <c r="E3365" s="3">
        <f>HYPERLINK("https://sao.dolgi.msk.ru/account/1404239506/", 1404239506)</f>
        <v>1404239506</v>
      </c>
      <c r="F3365">
        <v>1632.11</v>
      </c>
    </row>
    <row r="3366" spans="1:6" hidden="1" x14ac:dyDescent="0.25">
      <c r="A3366" t="s">
        <v>651</v>
      </c>
      <c r="B3366" t="s">
        <v>89</v>
      </c>
      <c r="E3366" s="3">
        <f>HYPERLINK("https://sao.dolgi.msk.ru/account/1404239821/", 1404239821)</f>
        <v>1404239821</v>
      </c>
      <c r="F3366">
        <v>0</v>
      </c>
    </row>
    <row r="3367" spans="1:6" hidden="1" x14ac:dyDescent="0.25">
      <c r="A3367" t="s">
        <v>651</v>
      </c>
      <c r="B3367" t="s">
        <v>90</v>
      </c>
      <c r="E3367" s="3">
        <f>HYPERLINK("https://sao.dolgi.msk.ru/account/1404240531/", 1404240531)</f>
        <v>1404240531</v>
      </c>
      <c r="F3367">
        <v>0</v>
      </c>
    </row>
    <row r="3368" spans="1:6" hidden="1" x14ac:dyDescent="0.25">
      <c r="A3368" t="s">
        <v>651</v>
      </c>
      <c r="B3368" t="s">
        <v>91</v>
      </c>
      <c r="E3368" s="3">
        <f>HYPERLINK("https://sao.dolgi.msk.ru/account/1404240128/", 1404240128)</f>
        <v>1404240128</v>
      </c>
      <c r="F3368">
        <v>-1636.88</v>
      </c>
    </row>
    <row r="3369" spans="1:6" hidden="1" x14ac:dyDescent="0.25">
      <c r="A3369" t="s">
        <v>651</v>
      </c>
      <c r="B3369" t="s">
        <v>92</v>
      </c>
      <c r="E3369" s="3">
        <f>HYPERLINK("https://sao.dolgi.msk.ru/account/1404239514/", 1404239514)</f>
        <v>1404239514</v>
      </c>
      <c r="F3369">
        <v>-2394.23</v>
      </c>
    </row>
    <row r="3370" spans="1:6" hidden="1" x14ac:dyDescent="0.25">
      <c r="A3370" t="s">
        <v>651</v>
      </c>
      <c r="B3370" t="s">
        <v>93</v>
      </c>
      <c r="E3370" s="3">
        <f>HYPERLINK("https://sao.dolgi.msk.ru/account/1404239696/", 1404239696)</f>
        <v>1404239696</v>
      </c>
      <c r="F3370">
        <v>-2008.55</v>
      </c>
    </row>
    <row r="3371" spans="1:6" hidden="1" x14ac:dyDescent="0.25">
      <c r="A3371" t="s">
        <v>651</v>
      </c>
      <c r="B3371" t="s">
        <v>94</v>
      </c>
      <c r="E3371" s="3">
        <f>HYPERLINK("https://sao.dolgi.msk.ru/account/1404238087/", 1404238087)</f>
        <v>1404238087</v>
      </c>
      <c r="F3371">
        <v>-3041.12</v>
      </c>
    </row>
    <row r="3372" spans="1:6" hidden="1" x14ac:dyDescent="0.25">
      <c r="A3372" t="s">
        <v>651</v>
      </c>
      <c r="B3372" t="s">
        <v>95</v>
      </c>
      <c r="E3372" s="3">
        <f>HYPERLINK("https://sao.dolgi.msk.ru/account/1404238327/", 1404238327)</f>
        <v>1404238327</v>
      </c>
      <c r="F3372">
        <v>0</v>
      </c>
    </row>
    <row r="3373" spans="1:6" x14ac:dyDescent="0.25">
      <c r="A3373" t="s">
        <v>651</v>
      </c>
      <c r="B3373" t="s">
        <v>96</v>
      </c>
      <c r="C3373" s="5" t="str">
        <f t="shared" ref="C3373:C3375" si="151">" кв. "&amp;B3373</f>
        <v xml:space="preserve"> кв. 92</v>
      </c>
      <c r="D3373" s="5" t="str">
        <f>CONCATENATE(A3373,C3373)</f>
        <v>Беломорская ул., дом 24 к.3 кв. 92</v>
      </c>
      <c r="E3373" s="3">
        <f>HYPERLINK("https://sao.dolgi.msk.ru/account/1404238431/", 1404238431)</f>
        <v>1404238431</v>
      </c>
      <c r="F3373">
        <v>1208.27</v>
      </c>
    </row>
    <row r="3374" spans="1:6" x14ac:dyDescent="0.25">
      <c r="A3374" t="s">
        <v>651</v>
      </c>
      <c r="B3374" t="s">
        <v>97</v>
      </c>
      <c r="C3374" s="5" t="str">
        <f t="shared" si="151"/>
        <v xml:space="preserve"> кв. 93</v>
      </c>
      <c r="D3374" s="5" t="str">
        <f>CONCATENATE(A3374,C3374)</f>
        <v>Беломорская ул., дом 24 к.3 кв. 93</v>
      </c>
      <c r="E3374" s="3">
        <f>HYPERLINK("https://sao.dolgi.msk.ru/account/1404238458/", 1404238458)</f>
        <v>1404238458</v>
      </c>
      <c r="F3374">
        <v>1224.08</v>
      </c>
    </row>
    <row r="3375" spans="1:6" x14ac:dyDescent="0.25">
      <c r="A3375" t="s">
        <v>651</v>
      </c>
      <c r="B3375" t="s">
        <v>99</v>
      </c>
      <c r="C3375" s="5" t="str">
        <f t="shared" si="151"/>
        <v xml:space="preserve"> кв. 95</v>
      </c>
      <c r="D3375" s="5" t="str">
        <f>CONCATENATE(A3375,C3375)</f>
        <v>Беломорская ул., дом 24 к.3 кв. 95</v>
      </c>
      <c r="E3375" s="3">
        <f>HYPERLINK("https://sao.dolgi.msk.ru/account/1404238466/", 1404238466)</f>
        <v>1404238466</v>
      </c>
      <c r="F3375">
        <v>1363.25</v>
      </c>
    </row>
    <row r="3376" spans="1:6" hidden="1" x14ac:dyDescent="0.25">
      <c r="A3376" t="s">
        <v>651</v>
      </c>
      <c r="B3376" t="s">
        <v>100</v>
      </c>
      <c r="E3376" s="3">
        <f>HYPERLINK("https://sao.dolgi.msk.ru/account/1404240232/", 1404240232)</f>
        <v>1404240232</v>
      </c>
      <c r="F3376">
        <v>-1568.39</v>
      </c>
    </row>
    <row r="3377" spans="1:6" x14ac:dyDescent="0.25">
      <c r="A3377" t="s">
        <v>651</v>
      </c>
      <c r="B3377" t="s">
        <v>101</v>
      </c>
      <c r="C3377" s="5" t="str">
        <f t="shared" ref="C3377:C3378" si="152">" кв. "&amp;B3377</f>
        <v xml:space="preserve"> кв. 97</v>
      </c>
      <c r="D3377" s="5" t="str">
        <f>CONCATENATE(A3377,C3377)</f>
        <v>Беломорская ул., дом 24 к.3 кв. 97</v>
      </c>
      <c r="E3377" s="3">
        <f>HYPERLINK("https://sao.dolgi.msk.ru/account/1404240136/", 1404240136)</f>
        <v>1404240136</v>
      </c>
      <c r="F3377">
        <v>1638.43</v>
      </c>
    </row>
    <row r="3378" spans="1:6" x14ac:dyDescent="0.25">
      <c r="A3378" t="s">
        <v>651</v>
      </c>
      <c r="B3378" t="s">
        <v>102</v>
      </c>
      <c r="C3378" s="5" t="str">
        <f t="shared" si="152"/>
        <v xml:space="preserve"> кв. 98</v>
      </c>
      <c r="D3378" s="5" t="str">
        <f>CONCATENATE(A3378,C3378)</f>
        <v>Беломорская ул., дом 24 к.3 кв. 98</v>
      </c>
      <c r="E3378" s="3">
        <f>HYPERLINK("https://sao.dolgi.msk.ru/account/1404240144/", 1404240144)</f>
        <v>1404240144</v>
      </c>
      <c r="F3378">
        <v>1635.27</v>
      </c>
    </row>
    <row r="3379" spans="1:6" hidden="1" x14ac:dyDescent="0.25">
      <c r="A3379" t="s">
        <v>651</v>
      </c>
      <c r="B3379" t="s">
        <v>103</v>
      </c>
      <c r="E3379" s="3">
        <f>HYPERLINK("https://sao.dolgi.msk.ru/account/1404239389/", 1404239389)</f>
        <v>1404239389</v>
      </c>
      <c r="F3379">
        <v>-1583.05</v>
      </c>
    </row>
    <row r="3380" spans="1:6" hidden="1" x14ac:dyDescent="0.25">
      <c r="A3380" t="s">
        <v>651</v>
      </c>
      <c r="B3380" t="s">
        <v>104</v>
      </c>
      <c r="E3380" s="3">
        <f>HYPERLINK("https://sao.dolgi.msk.ru/account/1404239186/", 1404239186)</f>
        <v>1404239186</v>
      </c>
      <c r="F3380">
        <v>0</v>
      </c>
    </row>
    <row r="3381" spans="1:6" x14ac:dyDescent="0.25">
      <c r="A3381" t="s">
        <v>651</v>
      </c>
      <c r="B3381" t="s">
        <v>105</v>
      </c>
      <c r="C3381" s="5" t="str">
        <f>" кв. "&amp;B3381</f>
        <v xml:space="preserve"> кв. 101</v>
      </c>
      <c r="D3381" s="5" t="str">
        <f>CONCATENATE(A3381,C3381)</f>
        <v>Беломорская ул., дом 24 к.3 кв. 101</v>
      </c>
      <c r="E3381" s="3">
        <f>HYPERLINK("https://sao.dolgi.msk.ru/account/1404240662/", 1404240662)</f>
        <v>1404240662</v>
      </c>
      <c r="F3381">
        <v>1217.76</v>
      </c>
    </row>
    <row r="3382" spans="1:6" hidden="1" x14ac:dyDescent="0.25">
      <c r="A3382" t="s">
        <v>651</v>
      </c>
      <c r="B3382" t="s">
        <v>106</v>
      </c>
      <c r="E3382" s="3">
        <f>HYPERLINK("https://sao.dolgi.msk.ru/account/1404238992/", 1404238992)</f>
        <v>1404238992</v>
      </c>
      <c r="F3382">
        <v>-1622.35</v>
      </c>
    </row>
    <row r="3383" spans="1:6" hidden="1" x14ac:dyDescent="0.25">
      <c r="A3383" t="s">
        <v>651</v>
      </c>
      <c r="B3383" t="s">
        <v>107</v>
      </c>
      <c r="E3383" s="3">
        <f>HYPERLINK("https://sao.dolgi.msk.ru/account/1404238132/", 1404238132)</f>
        <v>1404238132</v>
      </c>
      <c r="F3383">
        <v>-2650.8</v>
      </c>
    </row>
    <row r="3384" spans="1:6" hidden="1" x14ac:dyDescent="0.25">
      <c r="A3384" t="s">
        <v>651</v>
      </c>
      <c r="B3384" t="s">
        <v>108</v>
      </c>
      <c r="E3384" s="3">
        <f>HYPERLINK("https://sao.dolgi.msk.ru/account/1404239733/", 1404239733)</f>
        <v>1404239733</v>
      </c>
      <c r="F3384">
        <v>0</v>
      </c>
    </row>
    <row r="3385" spans="1:6" x14ac:dyDescent="0.25">
      <c r="A3385" t="s">
        <v>651</v>
      </c>
      <c r="B3385" t="s">
        <v>109</v>
      </c>
      <c r="C3385" s="5" t="str">
        <f t="shared" ref="C3385:C3386" si="153">" кв. "&amp;B3385</f>
        <v xml:space="preserve"> кв. 105</v>
      </c>
      <c r="D3385" s="5" t="str">
        <f>CONCATENATE(A3385,C3385)</f>
        <v>Беломорская ул., дом 24 к.3 кв. 105</v>
      </c>
      <c r="E3385" s="3">
        <f>HYPERLINK("https://sao.dolgi.msk.ru/account/1404239004/", 1404239004)</f>
        <v>1404239004</v>
      </c>
      <c r="F3385">
        <v>1872.5</v>
      </c>
    </row>
    <row r="3386" spans="1:6" x14ac:dyDescent="0.25">
      <c r="A3386" t="s">
        <v>651</v>
      </c>
      <c r="B3386" t="s">
        <v>110</v>
      </c>
      <c r="C3386" s="5" t="str">
        <f t="shared" si="153"/>
        <v xml:space="preserve"> кв. 106</v>
      </c>
      <c r="D3386" s="5" t="str">
        <f>CONCATENATE(A3386,C3386)</f>
        <v>Беломорская ул., дом 24 к.3 кв. 106</v>
      </c>
      <c r="E3386" s="3">
        <f>HYPERLINK("https://sao.dolgi.msk.ru/account/1404238028/", 1404238028)</f>
        <v>1404238028</v>
      </c>
      <c r="F3386">
        <v>1632.11</v>
      </c>
    </row>
    <row r="3387" spans="1:6" hidden="1" x14ac:dyDescent="0.25">
      <c r="A3387" t="s">
        <v>651</v>
      </c>
      <c r="B3387" t="s">
        <v>111</v>
      </c>
      <c r="E3387" s="3">
        <f>HYPERLINK("https://sao.dolgi.msk.ru/account/1404240152/", 1404240152)</f>
        <v>1404240152</v>
      </c>
      <c r="F3387">
        <v>0</v>
      </c>
    </row>
    <row r="3388" spans="1:6" x14ac:dyDescent="0.25">
      <c r="A3388" t="s">
        <v>651</v>
      </c>
      <c r="B3388" t="s">
        <v>112</v>
      </c>
      <c r="C3388" s="5" t="str">
        <f>" кв. "&amp;B3388</f>
        <v xml:space="preserve"> кв. 108</v>
      </c>
      <c r="D3388" s="5" t="str">
        <f>CONCATENATE(A3388,C3388)</f>
        <v>Беломорская ул., дом 24 к.3 кв. 108</v>
      </c>
      <c r="E3388" s="3">
        <f>HYPERLINK("https://sao.dolgi.msk.ru/account/1404240005/", 1404240005)</f>
        <v>1404240005</v>
      </c>
      <c r="F3388">
        <v>2166.66</v>
      </c>
    </row>
    <row r="3389" spans="1:6" hidden="1" x14ac:dyDescent="0.25">
      <c r="A3389" t="s">
        <v>651</v>
      </c>
      <c r="B3389" t="s">
        <v>113</v>
      </c>
      <c r="E3389" s="3">
        <f>HYPERLINK("https://sao.dolgi.msk.ru/account/1404239741/", 1404239741)</f>
        <v>1404239741</v>
      </c>
      <c r="F3389">
        <v>-3189.23</v>
      </c>
    </row>
    <row r="3390" spans="1:6" hidden="1" x14ac:dyDescent="0.25">
      <c r="A3390" t="s">
        <v>651</v>
      </c>
      <c r="B3390" t="s">
        <v>114</v>
      </c>
      <c r="E3390" s="3">
        <f>HYPERLINK("https://sao.dolgi.msk.ru/account/1404239362/", 1404239362)</f>
        <v>1404239362</v>
      </c>
      <c r="F3390">
        <v>-766.96</v>
      </c>
    </row>
    <row r="3391" spans="1:6" hidden="1" x14ac:dyDescent="0.25">
      <c r="A3391" t="s">
        <v>651</v>
      </c>
      <c r="B3391" t="s">
        <v>115</v>
      </c>
      <c r="E3391" s="3">
        <f>HYPERLINK("https://sao.dolgi.msk.ru/account/1404238546/", 1404238546)</f>
        <v>1404238546</v>
      </c>
      <c r="F3391">
        <v>-2361.87</v>
      </c>
    </row>
    <row r="3392" spans="1:6" x14ac:dyDescent="0.25">
      <c r="A3392" t="s">
        <v>651</v>
      </c>
      <c r="B3392" t="s">
        <v>116</v>
      </c>
      <c r="C3392" s="5" t="str">
        <f>" кв. "&amp;B3392</f>
        <v xml:space="preserve"> кв. 112</v>
      </c>
      <c r="D3392" s="5" t="str">
        <f>CONCATENATE(A3392,C3392)</f>
        <v>Беломорская ул., дом 24 к.3 кв. 112</v>
      </c>
      <c r="E3392" s="3">
        <f>HYPERLINK("https://sao.dolgi.msk.ru/account/1404239768/", 1404239768)</f>
        <v>1404239768</v>
      </c>
      <c r="F3392">
        <v>1632.1</v>
      </c>
    </row>
    <row r="3393" spans="1:6" hidden="1" x14ac:dyDescent="0.25">
      <c r="A3393" t="s">
        <v>651</v>
      </c>
      <c r="B3393" t="s">
        <v>117</v>
      </c>
      <c r="E3393" s="3">
        <f>HYPERLINK("https://sao.dolgi.msk.ru/account/1404239178/", 1404239178)</f>
        <v>1404239178</v>
      </c>
      <c r="F3393">
        <v>-2005.98</v>
      </c>
    </row>
    <row r="3394" spans="1:6" hidden="1" x14ac:dyDescent="0.25">
      <c r="A3394" t="s">
        <v>651</v>
      </c>
      <c r="B3394" t="s">
        <v>118</v>
      </c>
      <c r="E3394" s="3">
        <f>HYPERLINK("https://sao.dolgi.msk.ru/account/1404238968/", 1404238968)</f>
        <v>1404238968</v>
      </c>
      <c r="F3394">
        <v>-2055.67</v>
      </c>
    </row>
    <row r="3395" spans="1:6" hidden="1" x14ac:dyDescent="0.25">
      <c r="A3395" t="s">
        <v>651</v>
      </c>
      <c r="B3395" t="s">
        <v>119</v>
      </c>
      <c r="E3395" s="3">
        <f>HYPERLINK("https://sao.dolgi.msk.ru/account/1404239776/", 1404239776)</f>
        <v>1404239776</v>
      </c>
      <c r="F3395">
        <v>-2389.61</v>
      </c>
    </row>
    <row r="3396" spans="1:6" hidden="1" x14ac:dyDescent="0.25">
      <c r="A3396" t="s">
        <v>651</v>
      </c>
      <c r="B3396" t="s">
        <v>120</v>
      </c>
      <c r="E3396" s="3">
        <f>HYPERLINK("https://sao.dolgi.msk.ru/account/1404238036/", 1404238036)</f>
        <v>1404238036</v>
      </c>
      <c r="F3396">
        <v>0</v>
      </c>
    </row>
    <row r="3397" spans="1:6" hidden="1" x14ac:dyDescent="0.25">
      <c r="A3397" t="s">
        <v>651</v>
      </c>
      <c r="B3397" t="s">
        <v>121</v>
      </c>
      <c r="E3397" s="3">
        <f>HYPERLINK("https://sao.dolgi.msk.ru/account/1404239936/", 1404239936)</f>
        <v>1404239936</v>
      </c>
      <c r="F3397">
        <v>-3170.74</v>
      </c>
    </row>
    <row r="3398" spans="1:6" hidden="1" x14ac:dyDescent="0.25">
      <c r="A3398" t="s">
        <v>651</v>
      </c>
      <c r="B3398" t="s">
        <v>122</v>
      </c>
      <c r="E3398" s="3">
        <f>HYPERLINK("https://sao.dolgi.msk.ru/account/1404238044/", 1404238044)</f>
        <v>1404238044</v>
      </c>
      <c r="F3398">
        <v>-2171.7399999999998</v>
      </c>
    </row>
    <row r="3399" spans="1:6" hidden="1" x14ac:dyDescent="0.25">
      <c r="A3399" t="s">
        <v>651</v>
      </c>
      <c r="B3399" t="s">
        <v>123</v>
      </c>
      <c r="E3399" s="3">
        <f>HYPERLINK("https://sao.dolgi.msk.ru/account/1404238335/", 1404238335)</f>
        <v>1404238335</v>
      </c>
      <c r="F3399">
        <v>-1774.87</v>
      </c>
    </row>
    <row r="3400" spans="1:6" hidden="1" x14ac:dyDescent="0.25">
      <c r="A3400" t="s">
        <v>651</v>
      </c>
      <c r="B3400" t="s">
        <v>124</v>
      </c>
      <c r="E3400" s="3">
        <f>HYPERLINK("https://sao.dolgi.msk.ru/account/1404239784/", 1404239784)</f>
        <v>1404239784</v>
      </c>
      <c r="F3400">
        <v>0</v>
      </c>
    </row>
    <row r="3401" spans="1:6" hidden="1" x14ac:dyDescent="0.25">
      <c r="A3401" t="s">
        <v>651</v>
      </c>
      <c r="B3401" t="s">
        <v>125</v>
      </c>
      <c r="E3401" s="3">
        <f>HYPERLINK("https://sao.dolgi.msk.ru/account/1404240566/", 1404240566)</f>
        <v>1404240566</v>
      </c>
      <c r="F3401">
        <v>0</v>
      </c>
    </row>
    <row r="3402" spans="1:6" x14ac:dyDescent="0.25">
      <c r="A3402" t="s">
        <v>651</v>
      </c>
      <c r="B3402" t="s">
        <v>126</v>
      </c>
      <c r="C3402" s="5" t="str">
        <f>" кв. "&amp;B3402</f>
        <v xml:space="preserve"> кв. 122</v>
      </c>
      <c r="D3402" s="5" t="str">
        <f>CONCATENATE(A3402,C3402)</f>
        <v>Беломорская ул., дом 24 к.3 кв. 122</v>
      </c>
      <c r="E3402" s="3">
        <f>HYPERLINK("https://sao.dolgi.msk.ru/account/1404238781/", 1404238781)</f>
        <v>1404238781</v>
      </c>
      <c r="F3402">
        <v>1360.09</v>
      </c>
    </row>
    <row r="3403" spans="1:6" hidden="1" x14ac:dyDescent="0.25">
      <c r="A3403" t="s">
        <v>651</v>
      </c>
      <c r="B3403" t="s">
        <v>127</v>
      </c>
      <c r="E3403" s="3">
        <f>HYPERLINK("https://sao.dolgi.msk.ru/account/1404238618/", 1404238618)</f>
        <v>1404238618</v>
      </c>
      <c r="F3403">
        <v>0</v>
      </c>
    </row>
    <row r="3404" spans="1:6" x14ac:dyDescent="0.25">
      <c r="A3404" t="s">
        <v>651</v>
      </c>
      <c r="B3404" t="s">
        <v>128</v>
      </c>
      <c r="C3404" s="5" t="str">
        <f t="shared" ref="C3404:C3405" si="154">" кв. "&amp;B3404</f>
        <v xml:space="preserve"> кв. 124</v>
      </c>
      <c r="D3404" s="5" t="str">
        <f>CONCATENATE(A3404,C3404)</f>
        <v>Беломорская ул., дом 24 к.3 кв. 124</v>
      </c>
      <c r="E3404" s="3">
        <f>HYPERLINK("https://sao.dolgi.msk.ru/account/1404239792/", 1404239792)</f>
        <v>1404239792</v>
      </c>
      <c r="F3404">
        <v>1609.97</v>
      </c>
    </row>
    <row r="3405" spans="1:6" x14ac:dyDescent="0.25">
      <c r="A3405" t="s">
        <v>651</v>
      </c>
      <c r="B3405" t="s">
        <v>129</v>
      </c>
      <c r="C3405" s="5" t="str">
        <f t="shared" si="154"/>
        <v xml:space="preserve"> кв. 125</v>
      </c>
      <c r="D3405" s="5" t="str">
        <f>CONCATENATE(A3405,C3405)</f>
        <v>Беломорская ул., дом 24 к.3 кв. 125</v>
      </c>
      <c r="E3405" s="3">
        <f>HYPERLINK("https://sao.dolgi.msk.ru/account/1404239012/", 1404239012)</f>
        <v>1404239012</v>
      </c>
      <c r="F3405">
        <v>1606.8</v>
      </c>
    </row>
    <row r="3406" spans="1:6" hidden="1" x14ac:dyDescent="0.25">
      <c r="A3406" t="s">
        <v>651</v>
      </c>
      <c r="B3406" t="s">
        <v>130</v>
      </c>
      <c r="E3406" s="3">
        <f>HYPERLINK("https://sao.dolgi.msk.ru/account/1404239207/", 1404239207)</f>
        <v>1404239207</v>
      </c>
      <c r="F3406">
        <v>-3147.62</v>
      </c>
    </row>
    <row r="3407" spans="1:6" hidden="1" x14ac:dyDescent="0.25">
      <c r="A3407" t="s">
        <v>651</v>
      </c>
      <c r="B3407" t="s">
        <v>131</v>
      </c>
      <c r="E3407" s="3">
        <f>HYPERLINK("https://sao.dolgi.msk.ru/account/1404239071/", 1404239071)</f>
        <v>1404239071</v>
      </c>
      <c r="F3407">
        <v>0</v>
      </c>
    </row>
    <row r="3408" spans="1:6" hidden="1" x14ac:dyDescent="0.25">
      <c r="A3408" t="s">
        <v>651</v>
      </c>
      <c r="B3408" t="s">
        <v>132</v>
      </c>
      <c r="E3408" s="3">
        <f>HYPERLINK("https://sao.dolgi.msk.ru/account/1404238052/", 1404238052)</f>
        <v>1404238052</v>
      </c>
      <c r="F3408">
        <v>-1765.63</v>
      </c>
    </row>
    <row r="3409" spans="1:6" x14ac:dyDescent="0.25">
      <c r="A3409" t="s">
        <v>651</v>
      </c>
      <c r="B3409" t="s">
        <v>133</v>
      </c>
      <c r="C3409" s="5" t="str">
        <f>" кв. "&amp;B3409</f>
        <v xml:space="preserve"> кв. 129</v>
      </c>
      <c r="D3409" s="5" t="str">
        <f>CONCATENATE(A3409,C3409)</f>
        <v>Беломорская ул., дом 24 к.3 кв. 129</v>
      </c>
      <c r="E3409" s="3">
        <f>HYPERLINK("https://sao.dolgi.msk.ru/account/1404240179/", 1404240179)</f>
        <v>1404240179</v>
      </c>
      <c r="F3409">
        <v>1609.97</v>
      </c>
    </row>
    <row r="3410" spans="1:6" hidden="1" x14ac:dyDescent="0.25">
      <c r="A3410" t="s">
        <v>651</v>
      </c>
      <c r="B3410" t="s">
        <v>134</v>
      </c>
      <c r="E3410" s="3">
        <f>HYPERLINK("https://sao.dolgi.msk.ru/account/1404239805/", 1404239805)</f>
        <v>1404239805</v>
      </c>
      <c r="F3410">
        <v>-2352.64</v>
      </c>
    </row>
    <row r="3411" spans="1:6" hidden="1" x14ac:dyDescent="0.25">
      <c r="A3411" t="s">
        <v>651</v>
      </c>
      <c r="B3411" t="s">
        <v>135</v>
      </c>
      <c r="E3411" s="3">
        <f>HYPERLINK("https://sao.dolgi.msk.ru/account/1404239039/", 1404239039)</f>
        <v>1404239039</v>
      </c>
      <c r="F3411">
        <v>-1677.69</v>
      </c>
    </row>
    <row r="3412" spans="1:6" x14ac:dyDescent="0.25">
      <c r="A3412" t="s">
        <v>651</v>
      </c>
      <c r="B3412" t="s">
        <v>136</v>
      </c>
      <c r="C3412" s="5" t="str">
        <f t="shared" ref="C3412:C3414" si="155">" кв. "&amp;B3412</f>
        <v xml:space="preserve"> кв. 132</v>
      </c>
      <c r="D3412" s="5" t="str">
        <f>CONCATENATE(A3412,C3412)</f>
        <v>Беломорская ул., дом 24 к.3 кв. 132</v>
      </c>
      <c r="E3412" s="3">
        <f>HYPERLINK("https://sao.dolgi.msk.ru/account/1404238626/", 1404238626)</f>
        <v>1404238626</v>
      </c>
      <c r="F3412">
        <v>1866.17</v>
      </c>
    </row>
    <row r="3413" spans="1:6" x14ac:dyDescent="0.25">
      <c r="A3413" t="s">
        <v>651</v>
      </c>
      <c r="B3413" t="s">
        <v>137</v>
      </c>
      <c r="C3413" s="5" t="str">
        <f t="shared" si="155"/>
        <v xml:space="preserve"> кв. 133</v>
      </c>
      <c r="D3413" s="5" t="str">
        <f>CONCATENATE(A3413,C3413)</f>
        <v>Беломорская ул., дом 24 к.3 кв. 133</v>
      </c>
      <c r="E3413" s="3">
        <f>HYPERLINK("https://sao.dolgi.msk.ru/account/1404239813/", 1404239813)</f>
        <v>1404239813</v>
      </c>
      <c r="F3413">
        <v>1616.29</v>
      </c>
    </row>
    <row r="3414" spans="1:6" x14ac:dyDescent="0.25">
      <c r="A3414" t="s">
        <v>651</v>
      </c>
      <c r="B3414" t="s">
        <v>138</v>
      </c>
      <c r="C3414" s="5" t="str">
        <f t="shared" si="155"/>
        <v xml:space="preserve"> кв. 134</v>
      </c>
      <c r="D3414" s="5" t="str">
        <f>CONCATENATE(A3414,C3414)</f>
        <v>Беломорская ул., дом 24 к.3 кв. 134</v>
      </c>
      <c r="E3414" s="3">
        <f>HYPERLINK("https://sao.dolgi.msk.ru/account/1404238263/", 1404238263)</f>
        <v>1404238263</v>
      </c>
      <c r="F3414">
        <v>1606.8</v>
      </c>
    </row>
    <row r="3415" spans="1:6" hidden="1" x14ac:dyDescent="0.25">
      <c r="A3415" t="s">
        <v>651</v>
      </c>
      <c r="B3415" t="s">
        <v>139</v>
      </c>
      <c r="E3415" s="3">
        <f>HYPERLINK("https://sao.dolgi.msk.ru/account/1404240259/", 1404240259)</f>
        <v>1404240259</v>
      </c>
      <c r="F3415">
        <v>-3129.13</v>
      </c>
    </row>
    <row r="3416" spans="1:6" hidden="1" x14ac:dyDescent="0.25">
      <c r="A3416" t="s">
        <v>651</v>
      </c>
      <c r="B3416" t="s">
        <v>140</v>
      </c>
      <c r="E3416" s="3">
        <f>HYPERLINK("https://sao.dolgi.msk.ru/account/1404238116/", 1404238116)</f>
        <v>1404238116</v>
      </c>
      <c r="F3416">
        <v>-3179.98</v>
      </c>
    </row>
    <row r="3417" spans="1:6" x14ac:dyDescent="0.25">
      <c r="A3417" t="s">
        <v>651</v>
      </c>
      <c r="B3417" t="s">
        <v>141</v>
      </c>
      <c r="C3417" s="5" t="str">
        <f>" кв. "&amp;B3417</f>
        <v xml:space="preserve"> кв. 137</v>
      </c>
      <c r="D3417" s="5" t="str">
        <f>CONCATENATE(A3417,C3417)</f>
        <v>Беломорская ул., дом 24 к.3 кв. 137</v>
      </c>
      <c r="E3417" s="3">
        <f>HYPERLINK("https://sao.dolgi.msk.ru/account/1404239717/", 1404239717)</f>
        <v>1404239717</v>
      </c>
      <c r="F3417">
        <v>1205.0999999999999</v>
      </c>
    </row>
    <row r="3418" spans="1:6" hidden="1" x14ac:dyDescent="0.25">
      <c r="A3418" t="s">
        <v>651</v>
      </c>
      <c r="B3418" t="s">
        <v>142</v>
      </c>
      <c r="E3418" s="3">
        <f>HYPERLINK("https://sao.dolgi.msk.ru/account/1404238976/", 1404238976)</f>
        <v>1404238976</v>
      </c>
      <c r="F3418">
        <v>-1455.5</v>
      </c>
    </row>
    <row r="3419" spans="1:6" hidden="1" x14ac:dyDescent="0.25">
      <c r="A3419" t="s">
        <v>651</v>
      </c>
      <c r="B3419" t="s">
        <v>143</v>
      </c>
      <c r="E3419" s="3">
        <f>HYPERLINK("https://sao.dolgi.msk.ru/account/1404238538/", 1404238538)</f>
        <v>1404238538</v>
      </c>
      <c r="F3419">
        <v>-2141.35</v>
      </c>
    </row>
    <row r="3420" spans="1:6" hidden="1" x14ac:dyDescent="0.25">
      <c r="A3420" t="s">
        <v>651</v>
      </c>
      <c r="B3420" t="s">
        <v>144</v>
      </c>
      <c r="E3420" s="3">
        <f>HYPERLINK("https://sao.dolgi.msk.ru/account/1404240451/", 1404240451)</f>
        <v>1404240451</v>
      </c>
      <c r="F3420">
        <v>-1987.49</v>
      </c>
    </row>
    <row r="3421" spans="1:6" hidden="1" x14ac:dyDescent="0.25">
      <c r="A3421" t="s">
        <v>651</v>
      </c>
      <c r="B3421" t="s">
        <v>145</v>
      </c>
      <c r="E3421" s="3">
        <f>HYPERLINK("https://sao.dolgi.msk.ru/account/1404239311/", 1404239311)</f>
        <v>1404239311</v>
      </c>
      <c r="F3421">
        <v>0</v>
      </c>
    </row>
    <row r="3422" spans="1:6" hidden="1" x14ac:dyDescent="0.25">
      <c r="A3422" t="s">
        <v>651</v>
      </c>
      <c r="B3422" t="s">
        <v>146</v>
      </c>
      <c r="E3422" s="3">
        <f>HYPERLINK("https://sao.dolgi.msk.ru/account/1404239725/", 1404239725)</f>
        <v>1404239725</v>
      </c>
      <c r="F3422">
        <v>-2361.87</v>
      </c>
    </row>
    <row r="3423" spans="1:6" hidden="1" x14ac:dyDescent="0.25">
      <c r="A3423" t="s">
        <v>651</v>
      </c>
      <c r="B3423" t="s">
        <v>147</v>
      </c>
      <c r="E3423" s="3">
        <f>HYPERLINK("https://sao.dolgi.msk.ru/account/1404240478/", 1404240478)</f>
        <v>1404240478</v>
      </c>
      <c r="F3423">
        <v>-6201.28</v>
      </c>
    </row>
    <row r="3424" spans="1:6" hidden="1" x14ac:dyDescent="0.25">
      <c r="A3424" t="s">
        <v>651</v>
      </c>
      <c r="B3424" t="s">
        <v>148</v>
      </c>
      <c r="E3424" s="3">
        <f>HYPERLINK("https://sao.dolgi.msk.ru/account/1404239549/", 1404239549)</f>
        <v>1404239549</v>
      </c>
      <c r="F3424">
        <v>-3156.87</v>
      </c>
    </row>
    <row r="3425" spans="1:6" x14ac:dyDescent="0.25">
      <c r="A3425" t="s">
        <v>651</v>
      </c>
      <c r="B3425" t="s">
        <v>149</v>
      </c>
      <c r="C3425" s="5" t="str">
        <f>" кв. "&amp;B3425</f>
        <v xml:space="preserve"> кв. 145</v>
      </c>
      <c r="D3425" s="5" t="str">
        <f>CONCATENATE(A3425,C3425)</f>
        <v>Беломорская ул., дом 24 к.3 кв. 145</v>
      </c>
      <c r="E3425" s="3">
        <f>HYPERLINK("https://sao.dolgi.msk.ru/account/1404238386/", 1404238386)</f>
        <v>1404238386</v>
      </c>
      <c r="F3425">
        <v>2182.4699999999998</v>
      </c>
    </row>
    <row r="3426" spans="1:6" hidden="1" x14ac:dyDescent="0.25">
      <c r="A3426" t="s">
        <v>651</v>
      </c>
      <c r="B3426" t="s">
        <v>150</v>
      </c>
      <c r="E3426" s="3">
        <f>HYPERLINK("https://sao.dolgi.msk.ru/account/1404240486/", 1404240486)</f>
        <v>1404240486</v>
      </c>
      <c r="F3426">
        <v>-1761</v>
      </c>
    </row>
    <row r="3427" spans="1:6" hidden="1" x14ac:dyDescent="0.25">
      <c r="A3427" t="s">
        <v>651</v>
      </c>
      <c r="B3427" t="s">
        <v>151</v>
      </c>
      <c r="E3427" s="3">
        <f>HYPERLINK("https://sao.dolgi.msk.ru/account/1404238394/", 1404238394)</f>
        <v>1404238394</v>
      </c>
      <c r="F3427">
        <v>-2348</v>
      </c>
    </row>
    <row r="3428" spans="1:6" hidden="1" x14ac:dyDescent="0.25">
      <c r="A3428" t="s">
        <v>651</v>
      </c>
      <c r="B3428" t="s">
        <v>152</v>
      </c>
      <c r="E3428" s="3">
        <f>HYPERLINK("https://sao.dolgi.msk.ru/account/1404238861/", 1404238861)</f>
        <v>1404238861</v>
      </c>
      <c r="F3428">
        <v>-3143</v>
      </c>
    </row>
    <row r="3429" spans="1:6" x14ac:dyDescent="0.25">
      <c r="A3429" t="s">
        <v>651</v>
      </c>
      <c r="B3429" t="s">
        <v>153</v>
      </c>
      <c r="C3429" s="5" t="str">
        <f>" кв. "&amp;B3429</f>
        <v xml:space="preserve"> кв. 149</v>
      </c>
      <c r="D3429" s="5" t="str">
        <f>CONCATENATE(A3429,C3429)</f>
        <v>Беломорская ул., дом 24 к.3 кв. 149</v>
      </c>
      <c r="E3429" s="3">
        <f>HYPERLINK("https://sao.dolgi.msk.ru/account/1404238407/", 1404238407)</f>
        <v>1404238407</v>
      </c>
      <c r="F3429">
        <v>1363.25</v>
      </c>
    </row>
    <row r="3430" spans="1:6" hidden="1" x14ac:dyDescent="0.25">
      <c r="A3430" t="s">
        <v>651</v>
      </c>
      <c r="B3430" t="s">
        <v>154</v>
      </c>
      <c r="E3430" s="3">
        <f>HYPERLINK("https://sao.dolgi.msk.ru/account/1404237973/", 1404237973)</f>
        <v>1404237973</v>
      </c>
      <c r="F3430">
        <v>-2713.16</v>
      </c>
    </row>
    <row r="3431" spans="1:6" x14ac:dyDescent="0.25">
      <c r="A3431" t="s">
        <v>651</v>
      </c>
      <c r="B3431" t="s">
        <v>155</v>
      </c>
      <c r="C3431" s="5" t="str">
        <f t="shared" ref="C3431:C3432" si="156">" кв. "&amp;B3431</f>
        <v xml:space="preserve"> кв. 151</v>
      </c>
      <c r="D3431" s="5" t="str">
        <f>CONCATENATE(A3431,C3431)</f>
        <v>Беломорская ул., дом 24 к.3 кв. 151</v>
      </c>
      <c r="E3431" s="3">
        <f>HYPERLINK("https://sao.dolgi.msk.ru/account/1404240208/", 1404240208)</f>
        <v>1404240208</v>
      </c>
      <c r="F3431">
        <v>1084.9000000000001</v>
      </c>
    </row>
    <row r="3432" spans="1:6" x14ac:dyDescent="0.25">
      <c r="A3432" t="s">
        <v>651</v>
      </c>
      <c r="B3432" t="s">
        <v>156</v>
      </c>
      <c r="C3432" s="5" t="str">
        <f t="shared" si="156"/>
        <v xml:space="preserve"> кв. 152</v>
      </c>
      <c r="D3432" s="5" t="str">
        <f>CONCATENATE(A3432,C3432)</f>
        <v>Беломорская ул., дом 24 к.3 кв. 152</v>
      </c>
      <c r="E3432" s="3">
        <f>HYPERLINK("https://sao.dolgi.msk.ru/account/1404240558/", 1404240558)</f>
        <v>1404240558</v>
      </c>
      <c r="F3432">
        <v>1613.13</v>
      </c>
    </row>
    <row r="3433" spans="1:6" hidden="1" x14ac:dyDescent="0.25">
      <c r="A3433" t="s">
        <v>651</v>
      </c>
      <c r="B3433" t="s">
        <v>157</v>
      </c>
      <c r="E3433" s="3">
        <f>HYPERLINK("https://sao.dolgi.msk.ru/account/1404240216/", 1404240216)</f>
        <v>1404240216</v>
      </c>
      <c r="F3433">
        <v>0</v>
      </c>
    </row>
    <row r="3434" spans="1:6" hidden="1" x14ac:dyDescent="0.25">
      <c r="A3434" t="s">
        <v>651</v>
      </c>
      <c r="B3434" t="s">
        <v>158</v>
      </c>
      <c r="E3434" s="3">
        <f>HYPERLINK("https://sao.dolgi.msk.ru/account/1404239872/", 1404239872)</f>
        <v>1404239872</v>
      </c>
      <c r="F3434">
        <v>0</v>
      </c>
    </row>
    <row r="3435" spans="1:6" hidden="1" x14ac:dyDescent="0.25">
      <c r="A3435" t="s">
        <v>651</v>
      </c>
      <c r="B3435" t="s">
        <v>159</v>
      </c>
      <c r="E3435" s="3">
        <f>HYPERLINK("https://sao.dolgi.msk.ru/account/1404239442/", 1404239442)</f>
        <v>1404239442</v>
      </c>
      <c r="F3435">
        <v>0</v>
      </c>
    </row>
    <row r="3436" spans="1:6" hidden="1" x14ac:dyDescent="0.25">
      <c r="A3436" t="s">
        <v>651</v>
      </c>
      <c r="B3436" t="s">
        <v>160</v>
      </c>
      <c r="E3436" s="3">
        <f>HYPERLINK("https://sao.dolgi.msk.ru/account/1404239469/", 1404239469)</f>
        <v>1404239469</v>
      </c>
      <c r="F3436">
        <v>0</v>
      </c>
    </row>
    <row r="3437" spans="1:6" hidden="1" x14ac:dyDescent="0.25">
      <c r="A3437" t="s">
        <v>651</v>
      </c>
      <c r="B3437" t="s">
        <v>161</v>
      </c>
      <c r="E3437" s="3">
        <f>HYPERLINK("https://sao.dolgi.msk.ru/account/1404239477/", 1404239477)</f>
        <v>1404239477</v>
      </c>
      <c r="F3437">
        <v>-3129.13</v>
      </c>
    </row>
    <row r="3438" spans="1:6" hidden="1" x14ac:dyDescent="0.25">
      <c r="A3438" t="s">
        <v>651</v>
      </c>
      <c r="B3438" t="s">
        <v>162</v>
      </c>
      <c r="E3438" s="3">
        <f>HYPERLINK("https://sao.dolgi.msk.ru/account/1404238773/", 1404238773)</f>
        <v>1404238773</v>
      </c>
      <c r="F3438">
        <v>-315.16000000000003</v>
      </c>
    </row>
    <row r="3439" spans="1:6" hidden="1" x14ac:dyDescent="0.25">
      <c r="A3439" t="s">
        <v>651</v>
      </c>
      <c r="B3439" t="s">
        <v>163</v>
      </c>
      <c r="E3439" s="3">
        <f>HYPERLINK("https://sao.dolgi.msk.ru/account/1404238597/", 1404238597)</f>
        <v>1404238597</v>
      </c>
      <c r="F3439">
        <v>-2296.61</v>
      </c>
    </row>
    <row r="3440" spans="1:6" hidden="1" x14ac:dyDescent="0.25">
      <c r="A3440" t="s">
        <v>651</v>
      </c>
      <c r="B3440" t="s">
        <v>164</v>
      </c>
      <c r="E3440" s="3">
        <f>HYPERLINK("https://sao.dolgi.msk.ru/account/1404239899/", 1404239899)</f>
        <v>1404239899</v>
      </c>
      <c r="F3440">
        <v>-3962.6</v>
      </c>
    </row>
    <row r="3441" spans="1:6" x14ac:dyDescent="0.25">
      <c r="A3441" t="s">
        <v>651</v>
      </c>
      <c r="B3441" t="s">
        <v>165</v>
      </c>
      <c r="C3441" s="5" t="str">
        <f>" кв. "&amp;B3441</f>
        <v xml:space="preserve"> кв. 161</v>
      </c>
      <c r="D3441" s="5" t="str">
        <f>CONCATENATE(A3441,C3441)</f>
        <v>Беломорская ул., дом 24 к.3 кв. 161</v>
      </c>
      <c r="E3441" s="3">
        <f>HYPERLINK("https://sao.dolgi.msk.ru/account/1404238415/", 1404238415)</f>
        <v>1404238415</v>
      </c>
      <c r="F3441">
        <v>1609.97</v>
      </c>
    </row>
    <row r="3442" spans="1:6" hidden="1" x14ac:dyDescent="0.25">
      <c r="A3442" t="s">
        <v>651</v>
      </c>
      <c r="B3442" t="s">
        <v>166</v>
      </c>
      <c r="E3442" s="3">
        <f>HYPERLINK("https://sao.dolgi.msk.ru/account/1404240523/", 1404240523)</f>
        <v>1404240523</v>
      </c>
      <c r="F3442">
        <v>-2996.81</v>
      </c>
    </row>
    <row r="3443" spans="1:6" hidden="1" x14ac:dyDescent="0.25">
      <c r="A3443" t="s">
        <v>651</v>
      </c>
      <c r="B3443" t="s">
        <v>167</v>
      </c>
      <c r="E3443" s="3">
        <f>HYPERLINK("https://sao.dolgi.msk.ru/account/1404239653/", 1404239653)</f>
        <v>1404239653</v>
      </c>
      <c r="F3443">
        <v>0</v>
      </c>
    </row>
    <row r="3444" spans="1:6" hidden="1" x14ac:dyDescent="0.25">
      <c r="A3444" t="s">
        <v>651</v>
      </c>
      <c r="B3444" t="s">
        <v>168</v>
      </c>
      <c r="E3444" s="3">
        <f>HYPERLINK("https://sao.dolgi.msk.ru/account/1404239119/", 1404239119)</f>
        <v>1404239119</v>
      </c>
      <c r="F3444">
        <v>-1756.38</v>
      </c>
    </row>
    <row r="3445" spans="1:6" hidden="1" x14ac:dyDescent="0.25">
      <c r="A3445" t="s">
        <v>651</v>
      </c>
      <c r="B3445" t="s">
        <v>169</v>
      </c>
      <c r="E3445" s="3">
        <f>HYPERLINK("https://sao.dolgi.msk.ru/account/1404239944/", 1404239944)</f>
        <v>1404239944</v>
      </c>
      <c r="F3445">
        <v>0</v>
      </c>
    </row>
    <row r="3446" spans="1:6" hidden="1" x14ac:dyDescent="0.25">
      <c r="A3446" t="s">
        <v>651</v>
      </c>
      <c r="B3446" t="s">
        <v>170</v>
      </c>
      <c r="E3446" s="3">
        <f>HYPERLINK("https://sao.dolgi.msk.ru/account/1404239354/", 1404239354)</f>
        <v>1404239354</v>
      </c>
      <c r="F3446">
        <v>-2652.25</v>
      </c>
    </row>
    <row r="3447" spans="1:6" hidden="1" x14ac:dyDescent="0.25">
      <c r="A3447" t="s">
        <v>651</v>
      </c>
      <c r="B3447" t="s">
        <v>171</v>
      </c>
      <c r="E3447" s="3">
        <f>HYPERLINK("https://sao.dolgi.msk.ru/account/1404239127/", 1404239127)</f>
        <v>1404239127</v>
      </c>
      <c r="F3447">
        <v>-1504.49</v>
      </c>
    </row>
    <row r="3448" spans="1:6" x14ac:dyDescent="0.25">
      <c r="A3448" t="s">
        <v>651</v>
      </c>
      <c r="B3448" t="s">
        <v>172</v>
      </c>
      <c r="C3448" s="5" t="str">
        <f>" кв. "&amp;B3448</f>
        <v xml:space="preserve"> кв. 168</v>
      </c>
      <c r="D3448" s="5" t="str">
        <f>CONCATENATE(A3448,C3448)</f>
        <v>Беломорская ул., дом 24 к.3 кв. 168</v>
      </c>
      <c r="E3448" s="3">
        <f>HYPERLINK("https://sao.dolgi.msk.ru/account/1404239098/", 1404239098)</f>
        <v>1404239098</v>
      </c>
      <c r="F3448">
        <v>1863</v>
      </c>
    </row>
    <row r="3449" spans="1:6" hidden="1" x14ac:dyDescent="0.25">
      <c r="A3449" t="s">
        <v>651</v>
      </c>
      <c r="B3449" t="s">
        <v>173</v>
      </c>
      <c r="E3449" s="3">
        <f>HYPERLINK("https://sao.dolgi.msk.ru/account/1404239143/", 1404239143)</f>
        <v>1404239143</v>
      </c>
      <c r="F3449">
        <v>-1594.61</v>
      </c>
    </row>
    <row r="3450" spans="1:6" hidden="1" x14ac:dyDescent="0.25">
      <c r="A3450" t="s">
        <v>651</v>
      </c>
      <c r="B3450" t="s">
        <v>174</v>
      </c>
      <c r="E3450" s="3">
        <f>HYPERLINK("https://sao.dolgi.msk.ru/account/1404239135/", 1404239135)</f>
        <v>1404239135</v>
      </c>
      <c r="F3450">
        <v>-2357.25</v>
      </c>
    </row>
    <row r="3451" spans="1:6" hidden="1" x14ac:dyDescent="0.25">
      <c r="A3451" t="s">
        <v>651</v>
      </c>
      <c r="B3451" t="s">
        <v>175</v>
      </c>
      <c r="E3451" s="3">
        <f>HYPERLINK("https://sao.dolgi.msk.ru/account/1404238706/", 1404238706)</f>
        <v>1404238706</v>
      </c>
      <c r="F3451">
        <v>0</v>
      </c>
    </row>
    <row r="3452" spans="1:6" hidden="1" x14ac:dyDescent="0.25">
      <c r="A3452" t="s">
        <v>651</v>
      </c>
      <c r="B3452" t="s">
        <v>176</v>
      </c>
      <c r="E3452" s="3">
        <f>HYPERLINK("https://sao.dolgi.msk.ru/account/1404238247/", 1404238247)</f>
        <v>1404238247</v>
      </c>
      <c r="F3452">
        <v>-3193.85</v>
      </c>
    </row>
    <row r="3453" spans="1:6" x14ac:dyDescent="0.25">
      <c r="A3453" t="s">
        <v>651</v>
      </c>
      <c r="B3453" t="s">
        <v>177</v>
      </c>
      <c r="C3453" s="5" t="str">
        <f>" кв. "&amp;B3453</f>
        <v xml:space="preserve"> кв. 173</v>
      </c>
      <c r="D3453" s="5" t="str">
        <f>CONCATENATE(A3453,C3453)</f>
        <v>Беломорская ул., дом 24 к.3 кв. 173</v>
      </c>
      <c r="E3453" s="3">
        <f>HYPERLINK("https://sao.dolgi.msk.ru/account/1404240224/", 1404240224)</f>
        <v>1404240224</v>
      </c>
      <c r="F3453">
        <v>686.37</v>
      </c>
    </row>
    <row r="3454" spans="1:6" hidden="1" x14ac:dyDescent="0.25">
      <c r="A3454" t="s">
        <v>651</v>
      </c>
      <c r="B3454" t="s">
        <v>178</v>
      </c>
      <c r="E3454" s="3">
        <f>HYPERLINK("https://sao.dolgi.msk.ru/account/1404237877/", 1404237877)</f>
        <v>1404237877</v>
      </c>
      <c r="F3454">
        <v>-1599.23</v>
      </c>
    </row>
    <row r="3455" spans="1:6" x14ac:dyDescent="0.25">
      <c r="A3455" t="s">
        <v>651</v>
      </c>
      <c r="B3455" t="s">
        <v>179</v>
      </c>
      <c r="C3455" s="5" t="str">
        <f>" кв. "&amp;B3455</f>
        <v xml:space="preserve"> кв. 175</v>
      </c>
      <c r="D3455" s="5" t="str">
        <f>CONCATENATE(A3455,C3455)</f>
        <v>Беломорская ул., дом 24 к.3 кв. 175</v>
      </c>
      <c r="E3455" s="3">
        <f>HYPERLINK("https://sao.dolgi.msk.ru/account/1404238271/", 1404238271)</f>
        <v>1404238271</v>
      </c>
      <c r="F3455">
        <v>2125.54</v>
      </c>
    </row>
    <row r="3456" spans="1:6" hidden="1" x14ac:dyDescent="0.25">
      <c r="A3456" t="s">
        <v>651</v>
      </c>
      <c r="B3456" t="s">
        <v>180</v>
      </c>
      <c r="E3456" s="3">
        <f>HYPERLINK("https://sao.dolgi.msk.ru/account/1404239434/", 1404239434)</f>
        <v>1404239434</v>
      </c>
      <c r="F3456">
        <v>0</v>
      </c>
    </row>
    <row r="3457" spans="1:6" hidden="1" x14ac:dyDescent="0.25">
      <c r="A3457" t="s">
        <v>651</v>
      </c>
      <c r="B3457" t="s">
        <v>181</v>
      </c>
      <c r="E3457" s="3">
        <f>HYPERLINK("https://sao.dolgi.msk.ru/account/1404240056/", 1404240056)</f>
        <v>1404240056</v>
      </c>
      <c r="F3457">
        <v>0</v>
      </c>
    </row>
    <row r="3458" spans="1:6" hidden="1" x14ac:dyDescent="0.25">
      <c r="A3458" t="s">
        <v>651</v>
      </c>
      <c r="B3458" t="s">
        <v>182</v>
      </c>
      <c r="E3458" s="3">
        <f>HYPERLINK("https://sao.dolgi.msk.ru/account/1404237885/", 1404237885)</f>
        <v>1404237885</v>
      </c>
      <c r="F3458">
        <v>-2352.63</v>
      </c>
    </row>
    <row r="3459" spans="1:6" hidden="1" x14ac:dyDescent="0.25">
      <c r="A3459" t="s">
        <v>651</v>
      </c>
      <c r="B3459" t="s">
        <v>183</v>
      </c>
      <c r="E3459" s="3">
        <f>HYPERLINK("https://sao.dolgi.msk.ru/account/1404239565/", 1404239565)</f>
        <v>1404239565</v>
      </c>
      <c r="F3459">
        <v>-4229.34</v>
      </c>
    </row>
    <row r="3460" spans="1:6" x14ac:dyDescent="0.25">
      <c r="A3460" t="s">
        <v>651</v>
      </c>
      <c r="B3460" t="s">
        <v>184</v>
      </c>
      <c r="C3460" s="5" t="str">
        <f>" кв. "&amp;B3460</f>
        <v xml:space="preserve"> кв. 180</v>
      </c>
      <c r="D3460" s="5" t="str">
        <f>CONCATENATE(A3460,C3460)</f>
        <v>Беломорская ул., дом 24 к.3 кв. 180</v>
      </c>
      <c r="E3460" s="3">
        <f>HYPERLINK("https://sao.dolgi.msk.ru/account/1404239995/", 1404239995)</f>
        <v>1404239995</v>
      </c>
      <c r="F3460">
        <v>2163.4899999999998</v>
      </c>
    </row>
    <row r="3461" spans="1:6" hidden="1" x14ac:dyDescent="0.25">
      <c r="A3461" t="s">
        <v>651</v>
      </c>
      <c r="B3461" t="s">
        <v>185</v>
      </c>
      <c r="E3461" s="3">
        <f>HYPERLINK("https://sao.dolgi.msk.ru/account/1404239522/", 1404239522)</f>
        <v>1404239522</v>
      </c>
      <c r="F3461">
        <v>0</v>
      </c>
    </row>
    <row r="3462" spans="1:6" hidden="1" x14ac:dyDescent="0.25">
      <c r="A3462" t="s">
        <v>651</v>
      </c>
      <c r="B3462" t="s">
        <v>185</v>
      </c>
      <c r="E3462" s="3">
        <f>HYPERLINK("https://sao.dolgi.msk.ru/account/1404240611/", 1404240611)</f>
        <v>1404240611</v>
      </c>
      <c r="F3462">
        <v>0</v>
      </c>
    </row>
    <row r="3463" spans="1:6" hidden="1" x14ac:dyDescent="0.25">
      <c r="A3463" t="s">
        <v>651</v>
      </c>
      <c r="B3463" t="s">
        <v>186</v>
      </c>
      <c r="E3463" s="3">
        <f>HYPERLINK("https://sao.dolgi.msk.ru/account/1404238167/", 1404238167)</f>
        <v>1404238167</v>
      </c>
      <c r="F3463">
        <v>-1751.76</v>
      </c>
    </row>
    <row r="3464" spans="1:6" hidden="1" x14ac:dyDescent="0.25">
      <c r="A3464" t="s">
        <v>651</v>
      </c>
      <c r="B3464" t="s">
        <v>187</v>
      </c>
      <c r="E3464" s="3">
        <f>HYPERLINK("https://sao.dolgi.msk.ru/account/1404239215/", 1404239215)</f>
        <v>1404239215</v>
      </c>
      <c r="F3464">
        <v>-1585.36</v>
      </c>
    </row>
    <row r="3465" spans="1:6" hidden="1" x14ac:dyDescent="0.25">
      <c r="A3465" t="s">
        <v>651</v>
      </c>
      <c r="B3465" t="s">
        <v>188</v>
      </c>
      <c r="E3465" s="3">
        <f>HYPERLINK("https://sao.dolgi.msk.ru/account/1404238319/", 1404238319)</f>
        <v>1404238319</v>
      </c>
      <c r="F3465">
        <v>0</v>
      </c>
    </row>
    <row r="3466" spans="1:6" hidden="1" x14ac:dyDescent="0.25">
      <c r="A3466" t="s">
        <v>651</v>
      </c>
      <c r="B3466" t="s">
        <v>189</v>
      </c>
      <c r="E3466" s="3">
        <f>HYPERLINK("https://sao.dolgi.msk.ru/account/1404240646/", 1404240646)</f>
        <v>1404240646</v>
      </c>
      <c r="F3466">
        <v>0</v>
      </c>
    </row>
    <row r="3467" spans="1:6" hidden="1" x14ac:dyDescent="0.25">
      <c r="A3467" t="s">
        <v>651</v>
      </c>
      <c r="B3467" t="s">
        <v>190</v>
      </c>
      <c r="E3467" s="3">
        <f>HYPERLINK("https://sao.dolgi.msk.ru/account/1404237893/", 1404237893)</f>
        <v>1404237893</v>
      </c>
      <c r="F3467">
        <v>0</v>
      </c>
    </row>
    <row r="3468" spans="1:6" hidden="1" x14ac:dyDescent="0.25">
      <c r="A3468" t="s">
        <v>651</v>
      </c>
      <c r="B3468" t="s">
        <v>191</v>
      </c>
      <c r="E3468" s="3">
        <f>HYPERLINK("https://sao.dolgi.msk.ru/account/1404240021/", 1404240021)</f>
        <v>1404240021</v>
      </c>
      <c r="F3468">
        <v>-2361.87</v>
      </c>
    </row>
    <row r="3469" spans="1:6" hidden="1" x14ac:dyDescent="0.25">
      <c r="A3469" t="s">
        <v>651</v>
      </c>
      <c r="B3469" t="s">
        <v>192</v>
      </c>
      <c r="E3469" s="3">
        <f>HYPERLINK("https://sao.dolgi.msk.ru/account/1404238888/", 1404238888)</f>
        <v>1404238888</v>
      </c>
      <c r="F3469">
        <v>-2357.25</v>
      </c>
    </row>
    <row r="3470" spans="1:6" hidden="1" x14ac:dyDescent="0.25">
      <c r="A3470" t="s">
        <v>651</v>
      </c>
      <c r="B3470" t="s">
        <v>193</v>
      </c>
      <c r="E3470" s="3">
        <f>HYPERLINK("https://sao.dolgi.msk.ru/account/1404239426/", 1404239426)</f>
        <v>1404239426</v>
      </c>
      <c r="F3470">
        <v>-3152.25</v>
      </c>
    </row>
    <row r="3471" spans="1:6" hidden="1" x14ac:dyDescent="0.25">
      <c r="A3471" t="s">
        <v>651</v>
      </c>
      <c r="B3471" t="s">
        <v>194</v>
      </c>
      <c r="E3471" s="3">
        <f>HYPERLINK("https://sao.dolgi.msk.ru/account/1404238829/", 1404238829)</f>
        <v>1404238829</v>
      </c>
      <c r="F3471">
        <v>-3030.2</v>
      </c>
    </row>
    <row r="3472" spans="1:6" x14ac:dyDescent="0.25">
      <c r="A3472" t="s">
        <v>651</v>
      </c>
      <c r="B3472" t="s">
        <v>195</v>
      </c>
      <c r="C3472" s="5" t="str">
        <f>" кв. "&amp;B3472</f>
        <v xml:space="preserve"> кв. 191</v>
      </c>
      <c r="D3472" s="5" t="str">
        <f>CONCATENATE(A3472,C3472)</f>
        <v>Беломорская ул., дом 24 к.3 кв. 191</v>
      </c>
      <c r="E3472" s="3">
        <f>HYPERLINK("https://sao.dolgi.msk.ru/account/1404240048/", 1404240048)</f>
        <v>1404240048</v>
      </c>
      <c r="F3472">
        <v>1205.0999999999999</v>
      </c>
    </row>
    <row r="3473" spans="1:6" hidden="1" x14ac:dyDescent="0.25">
      <c r="A3473" t="s">
        <v>651</v>
      </c>
      <c r="B3473" t="s">
        <v>196</v>
      </c>
      <c r="E3473" s="3">
        <f>HYPERLINK("https://sao.dolgi.msk.ru/account/1404239573/", 1404239573)</f>
        <v>1404239573</v>
      </c>
      <c r="F3473">
        <v>-2352.63</v>
      </c>
    </row>
    <row r="3474" spans="1:6" hidden="1" x14ac:dyDescent="0.25">
      <c r="A3474" t="s">
        <v>651</v>
      </c>
      <c r="B3474" t="s">
        <v>197</v>
      </c>
      <c r="E3474" s="3">
        <f>HYPERLINK("https://sao.dolgi.msk.ru/account/1404239557/", 1404239557)</f>
        <v>1404239557</v>
      </c>
      <c r="F3474">
        <v>-3124.51</v>
      </c>
    </row>
    <row r="3475" spans="1:6" x14ac:dyDescent="0.25">
      <c r="A3475" t="s">
        <v>651</v>
      </c>
      <c r="B3475" t="s">
        <v>198</v>
      </c>
      <c r="C3475" s="5" t="str">
        <f>" кв. "&amp;B3475</f>
        <v xml:space="preserve"> кв. 194</v>
      </c>
      <c r="D3475" s="5" t="str">
        <f>CONCATENATE(A3475,C3475)</f>
        <v>Беломорская ул., дом 24 к.3 кв. 194</v>
      </c>
      <c r="E3475" s="3">
        <f>HYPERLINK("https://sao.dolgi.msk.ru/account/1404238896/", 1404238896)</f>
        <v>1404238896</v>
      </c>
      <c r="F3475">
        <v>1360.09</v>
      </c>
    </row>
    <row r="3476" spans="1:6" hidden="1" x14ac:dyDescent="0.25">
      <c r="A3476" t="s">
        <v>651</v>
      </c>
      <c r="B3476" t="s">
        <v>199</v>
      </c>
      <c r="E3476" s="3">
        <f>HYPERLINK("https://sao.dolgi.msk.ru/account/1404238634/", 1404238634)</f>
        <v>1404238634</v>
      </c>
      <c r="F3476">
        <v>-2731.63</v>
      </c>
    </row>
    <row r="3477" spans="1:6" hidden="1" x14ac:dyDescent="0.25">
      <c r="A3477" t="s">
        <v>651</v>
      </c>
      <c r="B3477" t="s">
        <v>200</v>
      </c>
      <c r="E3477" s="3">
        <f>HYPERLINK("https://sao.dolgi.msk.ru/account/1404238642/", 1404238642)</f>
        <v>1404238642</v>
      </c>
      <c r="F3477">
        <v>-2375.7399999999998</v>
      </c>
    </row>
    <row r="3478" spans="1:6" hidden="1" x14ac:dyDescent="0.25">
      <c r="A3478" t="s">
        <v>651</v>
      </c>
      <c r="B3478" t="s">
        <v>201</v>
      </c>
      <c r="E3478" s="3">
        <f>HYPERLINK("https://sao.dolgi.msk.ru/account/1404239581/", 1404239581)</f>
        <v>1404239581</v>
      </c>
      <c r="F3478">
        <v>0</v>
      </c>
    </row>
    <row r="3479" spans="1:6" hidden="1" x14ac:dyDescent="0.25">
      <c r="A3479" t="s">
        <v>651</v>
      </c>
      <c r="B3479" t="s">
        <v>202</v>
      </c>
      <c r="E3479" s="3">
        <f>HYPERLINK("https://sao.dolgi.msk.ru/account/1404240267/", 1404240267)</f>
        <v>1404240267</v>
      </c>
      <c r="F3479">
        <v>0</v>
      </c>
    </row>
    <row r="3480" spans="1:6" x14ac:dyDescent="0.25">
      <c r="A3480" t="s">
        <v>651</v>
      </c>
      <c r="B3480" t="s">
        <v>203</v>
      </c>
      <c r="C3480" s="5" t="str">
        <f>" кв. "&amp;B3480</f>
        <v xml:space="preserve"> кв. 199</v>
      </c>
      <c r="D3480" s="5" t="str">
        <f>CONCATENATE(A3480,C3480)</f>
        <v>Беломорская ул., дом 24 к.3 кв. 199</v>
      </c>
      <c r="E3480" s="3">
        <f>HYPERLINK("https://sao.dolgi.msk.ru/account/1404238079/", 1404238079)</f>
        <v>1404238079</v>
      </c>
      <c r="F3480">
        <v>2179.31</v>
      </c>
    </row>
    <row r="3481" spans="1:6" hidden="1" x14ac:dyDescent="0.25">
      <c r="A3481" t="s">
        <v>651</v>
      </c>
      <c r="B3481" t="s">
        <v>204</v>
      </c>
      <c r="E3481" s="3">
        <f>HYPERLINK("https://sao.dolgi.msk.ru/account/1404238909/", 1404238909)</f>
        <v>1404238909</v>
      </c>
      <c r="F3481">
        <v>-1761</v>
      </c>
    </row>
    <row r="3482" spans="1:6" hidden="1" x14ac:dyDescent="0.25">
      <c r="A3482" t="s">
        <v>651</v>
      </c>
      <c r="B3482" t="s">
        <v>205</v>
      </c>
      <c r="E3482" s="3">
        <f>HYPERLINK("https://sao.dolgi.msk.ru/account/1404238669/", 1404238669)</f>
        <v>1404238669</v>
      </c>
      <c r="F3482">
        <v>-1353.85</v>
      </c>
    </row>
    <row r="3483" spans="1:6" hidden="1" x14ac:dyDescent="0.25">
      <c r="A3483" t="s">
        <v>651</v>
      </c>
      <c r="B3483" t="s">
        <v>206</v>
      </c>
      <c r="E3483" s="3">
        <f>HYPERLINK("https://sao.dolgi.msk.ru/account/1404239223/", 1404239223)</f>
        <v>1404239223</v>
      </c>
      <c r="F3483">
        <v>-3143</v>
      </c>
    </row>
    <row r="3484" spans="1:6" x14ac:dyDescent="0.25">
      <c r="A3484" t="s">
        <v>651</v>
      </c>
      <c r="B3484" t="s">
        <v>207</v>
      </c>
      <c r="C3484" s="5" t="str">
        <f>" кв. "&amp;B3484</f>
        <v xml:space="preserve"> кв. 203</v>
      </c>
      <c r="D3484" s="5" t="str">
        <f>CONCATENATE(A3484,C3484)</f>
        <v>Беломорская ул., дом 24 к.3 кв. 203</v>
      </c>
      <c r="E3484" s="3">
        <f>HYPERLINK("https://sao.dolgi.msk.ru/account/1404238693/", 1404238693)</f>
        <v>1404238693</v>
      </c>
      <c r="F3484">
        <v>1372.74</v>
      </c>
    </row>
    <row r="3485" spans="1:6" hidden="1" x14ac:dyDescent="0.25">
      <c r="A3485" t="s">
        <v>651</v>
      </c>
      <c r="B3485" t="s">
        <v>208</v>
      </c>
      <c r="E3485" s="3">
        <f>HYPERLINK("https://sao.dolgi.msk.ru/account/1404238917/", 1404238917)</f>
        <v>1404238917</v>
      </c>
      <c r="F3485">
        <v>-2731.63</v>
      </c>
    </row>
    <row r="3486" spans="1:6" hidden="1" x14ac:dyDescent="0.25">
      <c r="A3486" t="s">
        <v>651</v>
      </c>
      <c r="B3486" t="s">
        <v>209</v>
      </c>
      <c r="E3486" s="3">
        <f>HYPERLINK("https://sao.dolgi.msk.ru/account/1404240355/", 1404240355)</f>
        <v>1404240355</v>
      </c>
      <c r="F3486">
        <v>-2352.63</v>
      </c>
    </row>
    <row r="3487" spans="1:6" hidden="1" x14ac:dyDescent="0.25">
      <c r="A3487" t="s">
        <v>651</v>
      </c>
      <c r="B3487" t="s">
        <v>210</v>
      </c>
      <c r="E3487" s="3">
        <f>HYPERLINK("https://sao.dolgi.msk.ru/account/1404238837/", 1404238837)</f>
        <v>1404238837</v>
      </c>
      <c r="F3487">
        <v>0</v>
      </c>
    </row>
    <row r="3488" spans="1:6" hidden="1" x14ac:dyDescent="0.25">
      <c r="A3488" t="s">
        <v>651</v>
      </c>
      <c r="B3488" t="s">
        <v>211</v>
      </c>
      <c r="E3488" s="3">
        <f>HYPERLINK("https://sao.dolgi.msk.ru/account/1404238298/", 1404238298)</f>
        <v>1404238298</v>
      </c>
      <c r="F3488">
        <v>0</v>
      </c>
    </row>
    <row r="3489" spans="1:6" x14ac:dyDescent="0.25">
      <c r="A3489" t="s">
        <v>651</v>
      </c>
      <c r="B3489" t="s">
        <v>212</v>
      </c>
      <c r="C3489" s="5" t="str">
        <f>" кв. "&amp;B3489</f>
        <v xml:space="preserve"> кв. 208</v>
      </c>
      <c r="D3489" s="5" t="str">
        <f>CONCATENATE(A3489,C3489)</f>
        <v>Беломорская ул., дом 24 к.3 кв. 208</v>
      </c>
      <c r="E3489" s="3">
        <f>HYPERLINK("https://sao.dolgi.msk.ru/account/1404240347/", 1404240347)</f>
        <v>1404240347</v>
      </c>
      <c r="F3489">
        <v>2185.63</v>
      </c>
    </row>
    <row r="3490" spans="1:6" hidden="1" x14ac:dyDescent="0.25">
      <c r="A3490" t="s">
        <v>651</v>
      </c>
      <c r="B3490" t="s">
        <v>213</v>
      </c>
      <c r="E3490" s="3">
        <f>HYPERLINK("https://sao.dolgi.msk.ru/account/1404239231/", 1404239231)</f>
        <v>1404239231</v>
      </c>
      <c r="F3490">
        <v>-1756.38</v>
      </c>
    </row>
    <row r="3491" spans="1:6" hidden="1" x14ac:dyDescent="0.25">
      <c r="A3491" t="s">
        <v>651</v>
      </c>
      <c r="B3491" t="s">
        <v>214</v>
      </c>
      <c r="E3491" s="3">
        <f>HYPERLINK("https://sao.dolgi.msk.ru/account/1404237906/", 1404237906)</f>
        <v>1404237906</v>
      </c>
      <c r="F3491">
        <v>-2348</v>
      </c>
    </row>
    <row r="3492" spans="1:6" x14ac:dyDescent="0.25">
      <c r="A3492" t="s">
        <v>651</v>
      </c>
      <c r="B3492" t="s">
        <v>215</v>
      </c>
      <c r="C3492" s="5" t="str">
        <f t="shared" ref="C3492:C3494" si="157">" кв. "&amp;B3492</f>
        <v xml:space="preserve"> кв. 211</v>
      </c>
      <c r="D3492" s="5" t="str">
        <f>CONCATENATE(A3492,C3492)</f>
        <v>Беломорская ул., дом 24 к.3 кв. 211</v>
      </c>
      <c r="E3492" s="3">
        <f>HYPERLINK("https://sao.dolgi.msk.ru/account/1404240515/", 1404240515)</f>
        <v>1404240515</v>
      </c>
      <c r="F3492">
        <v>1625.78</v>
      </c>
    </row>
    <row r="3493" spans="1:6" x14ac:dyDescent="0.25">
      <c r="A3493" t="s">
        <v>651</v>
      </c>
      <c r="B3493" t="s">
        <v>216</v>
      </c>
      <c r="C3493" s="5" t="str">
        <f t="shared" si="157"/>
        <v xml:space="preserve"> кв. 212</v>
      </c>
      <c r="D3493" s="5" t="str">
        <f>CONCATENATE(A3493,C3493)</f>
        <v>Беломорская ул., дом 24 к.3 кв. 212</v>
      </c>
      <c r="E3493" s="3">
        <f>HYPERLINK("https://sao.dolgi.msk.ru/account/1404237914/", 1404237914)</f>
        <v>1404237914</v>
      </c>
      <c r="F3493">
        <v>1366.42</v>
      </c>
    </row>
    <row r="3494" spans="1:6" x14ac:dyDescent="0.25">
      <c r="A3494" t="s">
        <v>651</v>
      </c>
      <c r="B3494" t="s">
        <v>217</v>
      </c>
      <c r="C3494" s="5" t="str">
        <f t="shared" si="157"/>
        <v xml:space="preserve"> кв. 213</v>
      </c>
      <c r="D3494" s="5" t="str">
        <f>CONCATENATE(A3494,C3494)</f>
        <v>Беломорская ул., дом 24 к.3 кв. 213</v>
      </c>
      <c r="E3494" s="3">
        <f>HYPERLINK("https://sao.dolgi.msk.ru/account/1404240099/", 1404240099)</f>
        <v>1404240099</v>
      </c>
      <c r="F3494">
        <v>1863.01</v>
      </c>
    </row>
    <row r="3495" spans="1:6" hidden="1" x14ac:dyDescent="0.25">
      <c r="A3495" t="s">
        <v>651</v>
      </c>
      <c r="B3495" t="s">
        <v>218</v>
      </c>
      <c r="E3495" s="3">
        <f>HYPERLINK("https://sao.dolgi.msk.ru/account/1404239856/", 1404239856)</f>
        <v>1404239856</v>
      </c>
      <c r="F3495">
        <v>0</v>
      </c>
    </row>
    <row r="3496" spans="1:6" hidden="1" x14ac:dyDescent="0.25">
      <c r="A3496" t="s">
        <v>651</v>
      </c>
      <c r="B3496" t="s">
        <v>219</v>
      </c>
      <c r="E3496" s="3">
        <f>HYPERLINK("https://sao.dolgi.msk.ru/account/1404239629/", 1404239629)</f>
        <v>1404239629</v>
      </c>
      <c r="F3496">
        <v>-2357.25</v>
      </c>
    </row>
    <row r="3497" spans="1:6" x14ac:dyDescent="0.25">
      <c r="A3497" t="s">
        <v>651</v>
      </c>
      <c r="B3497" t="s">
        <v>220</v>
      </c>
      <c r="C3497" s="5" t="str">
        <f>" кв. "&amp;B3497</f>
        <v xml:space="preserve"> кв. 216</v>
      </c>
      <c r="D3497" s="5" t="str">
        <f>CONCATENATE(A3497,C3497)</f>
        <v>Беломорская ул., дом 24 к.3 кв. 216</v>
      </c>
      <c r="E3497" s="3">
        <f>HYPERLINK("https://sao.dolgi.msk.ru/account/1404239637/", 1404239637)</f>
        <v>1404239637</v>
      </c>
      <c r="F3497">
        <v>2147.6799999999998</v>
      </c>
    </row>
    <row r="3498" spans="1:6" hidden="1" x14ac:dyDescent="0.25">
      <c r="A3498" t="s">
        <v>651</v>
      </c>
      <c r="B3498" t="s">
        <v>221</v>
      </c>
      <c r="E3498" s="3">
        <f>HYPERLINK("https://sao.dolgi.msk.ru/account/1404238685/", 1404238685)</f>
        <v>1404238685</v>
      </c>
      <c r="F3498">
        <v>-3203.1</v>
      </c>
    </row>
    <row r="3499" spans="1:6" hidden="1" x14ac:dyDescent="0.25">
      <c r="A3499" t="s">
        <v>651</v>
      </c>
      <c r="B3499" t="s">
        <v>222</v>
      </c>
      <c r="E3499" s="3">
        <f>HYPERLINK("https://sao.dolgi.msk.ru/account/1404238204/", 1404238204)</f>
        <v>1404238204</v>
      </c>
      <c r="F3499">
        <v>-953.36</v>
      </c>
    </row>
    <row r="3500" spans="1:6" x14ac:dyDescent="0.25">
      <c r="A3500" t="s">
        <v>651</v>
      </c>
      <c r="B3500" t="s">
        <v>223</v>
      </c>
      <c r="C3500" s="5" t="str">
        <f>" кв. "&amp;B3500</f>
        <v xml:space="preserve"> кв. 219</v>
      </c>
      <c r="D3500" s="5" t="str">
        <f>CONCATENATE(A3500,C3500)</f>
        <v>Беломорская ул., дом 24 к.3 кв. 219</v>
      </c>
      <c r="E3500" s="3">
        <f>HYPERLINK("https://sao.dolgi.msk.ru/account/1404238212/", 1404238212)</f>
        <v>1404238212</v>
      </c>
      <c r="F3500">
        <v>1603.64</v>
      </c>
    </row>
    <row r="3501" spans="1:6" hidden="1" x14ac:dyDescent="0.25">
      <c r="A3501" t="s">
        <v>651</v>
      </c>
      <c r="B3501" t="s">
        <v>224</v>
      </c>
      <c r="E3501" s="3">
        <f>HYPERLINK("https://sao.dolgi.msk.ru/account/1404240419/", 1404240419)</f>
        <v>1404240419</v>
      </c>
      <c r="F3501">
        <v>-989.24</v>
      </c>
    </row>
    <row r="3502" spans="1:6" x14ac:dyDescent="0.25">
      <c r="A3502" t="s">
        <v>651</v>
      </c>
      <c r="B3502" t="s">
        <v>225</v>
      </c>
      <c r="C3502" s="5" t="str">
        <f t="shared" ref="C3502:C3504" si="158">" кв. "&amp;B3502</f>
        <v xml:space="preserve"> кв. 221</v>
      </c>
      <c r="D3502" s="5" t="str">
        <f>CONCATENATE(A3502,C3502)</f>
        <v>Беломорская ул., дом 24 к.3 кв. 221</v>
      </c>
      <c r="E3502" s="3">
        <f>HYPERLINK("https://sao.dolgi.msk.ru/account/1404238239/", 1404238239)</f>
        <v>1404238239</v>
      </c>
      <c r="F3502">
        <v>1369.58</v>
      </c>
    </row>
    <row r="3503" spans="1:6" x14ac:dyDescent="0.25">
      <c r="A3503" t="s">
        <v>651</v>
      </c>
      <c r="B3503" t="s">
        <v>226</v>
      </c>
      <c r="C3503" s="5" t="str">
        <f t="shared" si="158"/>
        <v xml:space="preserve"> кв. 222</v>
      </c>
      <c r="D3503" s="5" t="str">
        <f>CONCATENATE(A3503,C3503)</f>
        <v>Беломорская ул., дом 24 к.3 кв. 222</v>
      </c>
      <c r="E3503" s="3">
        <f>HYPERLINK("https://sao.dolgi.msk.ru/account/1404237981/", 1404237981)</f>
        <v>1404237981</v>
      </c>
      <c r="F3503">
        <v>1859.84</v>
      </c>
    </row>
    <row r="3504" spans="1:6" x14ac:dyDescent="0.25">
      <c r="A3504" t="s">
        <v>651</v>
      </c>
      <c r="B3504" t="s">
        <v>227</v>
      </c>
      <c r="C3504" s="5" t="str">
        <f t="shared" si="158"/>
        <v xml:space="preserve"> кв. 223</v>
      </c>
      <c r="D3504" s="5" t="str">
        <f>CONCATENATE(A3504,C3504)</f>
        <v>Беломорская ул., дом 24 к.3 кв. 223</v>
      </c>
      <c r="E3504" s="3">
        <f>HYPERLINK("https://sao.dolgi.msk.ru/account/1404238941/", 1404238941)</f>
        <v>1404238941</v>
      </c>
      <c r="F3504">
        <v>1609.97</v>
      </c>
    </row>
    <row r="3505" spans="1:6" hidden="1" x14ac:dyDescent="0.25">
      <c r="A3505" t="s">
        <v>651</v>
      </c>
      <c r="B3505" t="s">
        <v>228</v>
      </c>
      <c r="E3505" s="3">
        <f>HYPERLINK("https://sao.dolgi.msk.ru/account/1404240101/", 1404240101)</f>
        <v>1404240101</v>
      </c>
      <c r="F3505">
        <v>-2352.63</v>
      </c>
    </row>
    <row r="3506" spans="1:6" hidden="1" x14ac:dyDescent="0.25">
      <c r="A3506" t="s">
        <v>651</v>
      </c>
      <c r="B3506" t="s">
        <v>229</v>
      </c>
      <c r="E3506" s="3">
        <f>HYPERLINK("https://sao.dolgi.msk.ru/account/1404238351/", 1404238351)</f>
        <v>1404238351</v>
      </c>
      <c r="F3506">
        <v>-3166.12</v>
      </c>
    </row>
    <row r="3507" spans="1:6" x14ac:dyDescent="0.25">
      <c r="A3507" t="s">
        <v>651</v>
      </c>
      <c r="B3507" t="s">
        <v>230</v>
      </c>
      <c r="C3507" s="5" t="str">
        <f>" кв. "&amp;B3507</f>
        <v xml:space="preserve"> кв. 226</v>
      </c>
      <c r="D3507" s="5" t="str">
        <f>CONCATENATE(A3507,C3507)</f>
        <v>Беломорская ул., дом 24 к.3 кв. 226</v>
      </c>
      <c r="E3507" s="3">
        <f>HYPERLINK("https://sao.dolgi.msk.ru/account/1404240582/", 1404240582)</f>
        <v>1404240582</v>
      </c>
      <c r="F3507">
        <v>2179.31</v>
      </c>
    </row>
    <row r="3508" spans="1:6" hidden="1" x14ac:dyDescent="0.25">
      <c r="A3508" t="s">
        <v>651</v>
      </c>
      <c r="B3508" t="s">
        <v>231</v>
      </c>
      <c r="E3508" s="3">
        <f>HYPERLINK("https://sao.dolgi.msk.ru/account/1404239645/", 1404239645)</f>
        <v>1404239645</v>
      </c>
      <c r="F3508">
        <v>-1751.76</v>
      </c>
    </row>
    <row r="3509" spans="1:6" hidden="1" x14ac:dyDescent="0.25">
      <c r="A3509" t="s">
        <v>651</v>
      </c>
      <c r="B3509" t="s">
        <v>232</v>
      </c>
      <c r="E3509" s="3">
        <f>HYPERLINK("https://sao.dolgi.msk.ru/account/1404240427/", 1404240427)</f>
        <v>1404240427</v>
      </c>
      <c r="F3509">
        <v>-1580.74</v>
      </c>
    </row>
    <row r="3510" spans="1:6" x14ac:dyDescent="0.25">
      <c r="A3510" t="s">
        <v>651</v>
      </c>
      <c r="B3510" t="s">
        <v>233</v>
      </c>
      <c r="C3510" s="5" t="str">
        <f>" кв. "&amp;B3510</f>
        <v xml:space="preserve"> кв. 229</v>
      </c>
      <c r="D3510" s="5" t="str">
        <f>CONCATENATE(A3510,C3510)</f>
        <v>Беломорская ул., дом 24 к.3 кв. 229</v>
      </c>
      <c r="E3510" s="3">
        <f>HYPERLINK("https://sao.dolgi.msk.ru/account/1404238378/", 1404238378)</f>
        <v>1404238378</v>
      </c>
      <c r="F3510">
        <v>2144.5100000000002</v>
      </c>
    </row>
    <row r="3511" spans="1:6" hidden="1" x14ac:dyDescent="0.25">
      <c r="A3511" t="s">
        <v>654</v>
      </c>
      <c r="B3511" t="s">
        <v>5</v>
      </c>
      <c r="E3511" s="3">
        <f>HYPERLINK("https://sao.dolgi.msk.ru/account/1404242414/", 1404242414)</f>
        <v>1404242414</v>
      </c>
      <c r="F3511">
        <v>-3439.29</v>
      </c>
    </row>
    <row r="3512" spans="1:6" x14ac:dyDescent="0.25">
      <c r="A3512" t="s">
        <v>654</v>
      </c>
      <c r="B3512" t="s">
        <v>6</v>
      </c>
      <c r="C3512" s="5" t="str">
        <f>" кв. "&amp;B3512</f>
        <v xml:space="preserve"> кв. 2</v>
      </c>
      <c r="D3512" s="5" t="str">
        <f>CONCATENATE(A3512,C3512)</f>
        <v>Беломорская ул., дом 26 кв. 2</v>
      </c>
      <c r="E3512" s="3">
        <f>HYPERLINK("https://sao.dolgi.msk.ru/account/1404241526/", 1404241526)</f>
        <v>1404241526</v>
      </c>
      <c r="F3512">
        <v>1030.8499999999999</v>
      </c>
    </row>
    <row r="3513" spans="1:6" hidden="1" x14ac:dyDescent="0.25">
      <c r="A3513" t="s">
        <v>654</v>
      </c>
      <c r="B3513" t="s">
        <v>7</v>
      </c>
      <c r="E3513" s="3">
        <f>HYPERLINK("https://sao.dolgi.msk.ru/account/1404240902/", 1404240902)</f>
        <v>1404240902</v>
      </c>
      <c r="F3513">
        <v>0</v>
      </c>
    </row>
    <row r="3514" spans="1:6" hidden="1" x14ac:dyDescent="0.25">
      <c r="A3514" t="s">
        <v>654</v>
      </c>
      <c r="B3514" t="s">
        <v>8</v>
      </c>
      <c r="E3514" s="3">
        <f>HYPERLINK("https://sao.dolgi.msk.ru/account/1404241657/", 1404241657)</f>
        <v>1404241657</v>
      </c>
      <c r="F3514">
        <v>-3398.19</v>
      </c>
    </row>
    <row r="3515" spans="1:6" x14ac:dyDescent="0.25">
      <c r="A3515" t="s">
        <v>654</v>
      </c>
      <c r="B3515" t="s">
        <v>9</v>
      </c>
      <c r="C3515" s="5" t="str">
        <f>" кв. "&amp;B3515</f>
        <v xml:space="preserve"> кв. 5</v>
      </c>
      <c r="D3515" s="5" t="str">
        <f>CONCATENATE(A3515,C3515)</f>
        <v>Беломорская ул., дом 26 кв. 5</v>
      </c>
      <c r="E3515" s="3">
        <f>HYPERLINK("https://sao.dolgi.msk.ru/account/1404241024/", 1404241024)</f>
        <v>1404241024</v>
      </c>
      <c r="F3515">
        <v>1619.46</v>
      </c>
    </row>
    <row r="3516" spans="1:6" hidden="1" x14ac:dyDescent="0.25">
      <c r="A3516" t="s">
        <v>654</v>
      </c>
      <c r="B3516" t="s">
        <v>10</v>
      </c>
      <c r="E3516" s="3">
        <f>HYPERLINK("https://sao.dolgi.msk.ru/account/1404243185/", 1404243185)</f>
        <v>1404243185</v>
      </c>
      <c r="F3516">
        <v>-1807.23</v>
      </c>
    </row>
    <row r="3517" spans="1:6" hidden="1" x14ac:dyDescent="0.25">
      <c r="A3517" t="s">
        <v>654</v>
      </c>
      <c r="B3517" t="s">
        <v>11</v>
      </c>
      <c r="E3517" s="3">
        <f>HYPERLINK("https://sao.dolgi.msk.ru/account/1404241315/", 1404241315)</f>
        <v>1404241315</v>
      </c>
      <c r="F3517">
        <v>-563.20000000000005</v>
      </c>
    </row>
    <row r="3518" spans="1:6" hidden="1" x14ac:dyDescent="0.25">
      <c r="A3518" t="s">
        <v>654</v>
      </c>
      <c r="B3518" t="s">
        <v>12</v>
      </c>
      <c r="E3518" s="3">
        <f>HYPERLINK("https://sao.dolgi.msk.ru/account/1404241438/", 1404241438)</f>
        <v>1404241438</v>
      </c>
      <c r="F3518">
        <v>-3822.44</v>
      </c>
    </row>
    <row r="3519" spans="1:6" hidden="1" x14ac:dyDescent="0.25">
      <c r="A3519" t="s">
        <v>654</v>
      </c>
      <c r="B3519" t="s">
        <v>13</v>
      </c>
      <c r="E3519" s="3">
        <f>HYPERLINK("https://sao.dolgi.msk.ru/account/1404240822/", 1404240822)</f>
        <v>1404240822</v>
      </c>
      <c r="F3519">
        <v>0</v>
      </c>
    </row>
    <row r="3520" spans="1:6" x14ac:dyDescent="0.25">
      <c r="A3520" t="s">
        <v>654</v>
      </c>
      <c r="B3520" t="s">
        <v>14</v>
      </c>
      <c r="C3520" s="5" t="str">
        <f>" кв. "&amp;B3520</f>
        <v xml:space="preserve"> кв. 10</v>
      </c>
      <c r="D3520" s="5" t="str">
        <f>CONCATENATE(A3520,C3520)</f>
        <v>Беломорская ул., дом 26 кв. 10</v>
      </c>
      <c r="E3520" s="3">
        <f>HYPERLINK("https://sao.dolgi.msk.ru/account/1404243169/", 1404243169)</f>
        <v>1404243169</v>
      </c>
      <c r="F3520">
        <v>1217.76</v>
      </c>
    </row>
    <row r="3521" spans="1:6" hidden="1" x14ac:dyDescent="0.25">
      <c r="A3521" t="s">
        <v>654</v>
      </c>
      <c r="B3521" t="s">
        <v>15</v>
      </c>
      <c r="E3521" s="3">
        <f>HYPERLINK("https://sao.dolgi.msk.ru/account/1404243353/", 1404243353)</f>
        <v>1404243353</v>
      </c>
      <c r="F3521">
        <v>-1770.25</v>
      </c>
    </row>
    <row r="3522" spans="1:6" hidden="1" x14ac:dyDescent="0.25">
      <c r="A3522" t="s">
        <v>654</v>
      </c>
      <c r="B3522" t="s">
        <v>16</v>
      </c>
      <c r="E3522" s="3">
        <f>HYPERLINK("https://sao.dolgi.msk.ru/account/1404242174/", 1404242174)</f>
        <v>1404242174</v>
      </c>
      <c r="F3522">
        <v>-3831.69</v>
      </c>
    </row>
    <row r="3523" spans="1:6" hidden="1" x14ac:dyDescent="0.25">
      <c r="A3523" t="s">
        <v>654</v>
      </c>
      <c r="B3523" t="s">
        <v>17</v>
      </c>
      <c r="E3523" s="3">
        <f>HYPERLINK("https://sao.dolgi.msk.ru/account/1404242182/", 1404242182)</f>
        <v>1404242182</v>
      </c>
      <c r="F3523">
        <v>-3882.54</v>
      </c>
    </row>
    <row r="3524" spans="1:6" x14ac:dyDescent="0.25">
      <c r="A3524" t="s">
        <v>654</v>
      </c>
      <c r="B3524" t="s">
        <v>18</v>
      </c>
      <c r="C3524" s="5" t="str">
        <f>" кв. "&amp;B3524</f>
        <v xml:space="preserve"> кв. 14</v>
      </c>
      <c r="D3524" s="5" t="str">
        <f>CONCATENATE(A3524,C3524)</f>
        <v>Беломорская ул., дом 26 кв. 14</v>
      </c>
      <c r="E3524" s="3">
        <f>HYPERLINK("https://sao.dolgi.msk.ru/account/1404241171/", 1404241171)</f>
        <v>1404241171</v>
      </c>
      <c r="F3524">
        <v>1205.0999999999999</v>
      </c>
    </row>
    <row r="3525" spans="1:6" hidden="1" x14ac:dyDescent="0.25">
      <c r="A3525" t="s">
        <v>654</v>
      </c>
      <c r="B3525" t="s">
        <v>19</v>
      </c>
      <c r="E3525" s="3">
        <f>HYPERLINK("https://sao.dolgi.msk.ru/account/1404241921/", 1404241921)</f>
        <v>1404241921</v>
      </c>
      <c r="F3525">
        <v>-1494.73</v>
      </c>
    </row>
    <row r="3526" spans="1:6" hidden="1" x14ac:dyDescent="0.25">
      <c r="A3526" t="s">
        <v>654</v>
      </c>
      <c r="B3526" t="s">
        <v>20</v>
      </c>
      <c r="E3526" s="3">
        <f>HYPERLINK("https://sao.dolgi.msk.ru/account/1404240945/", 1404240945)</f>
        <v>1404240945</v>
      </c>
      <c r="F3526">
        <v>-3586.32</v>
      </c>
    </row>
    <row r="3527" spans="1:6" hidden="1" x14ac:dyDescent="0.25">
      <c r="A3527" t="s">
        <v>654</v>
      </c>
      <c r="B3527" t="s">
        <v>21</v>
      </c>
      <c r="E3527" s="3">
        <f>HYPERLINK("https://sao.dolgi.msk.ru/account/1404242342/", 1404242342)</f>
        <v>1404242342</v>
      </c>
      <c r="F3527">
        <v>-2759.81</v>
      </c>
    </row>
    <row r="3528" spans="1:6" hidden="1" x14ac:dyDescent="0.25">
      <c r="A3528" t="s">
        <v>654</v>
      </c>
      <c r="B3528" t="s">
        <v>22</v>
      </c>
      <c r="E3528" s="3">
        <f>HYPERLINK("https://sao.dolgi.msk.ru/account/1404242457/", 1404242457)</f>
        <v>1404242457</v>
      </c>
      <c r="F3528">
        <v>-2004.65</v>
      </c>
    </row>
    <row r="3529" spans="1:6" hidden="1" x14ac:dyDescent="0.25">
      <c r="A3529" t="s">
        <v>654</v>
      </c>
      <c r="B3529" t="s">
        <v>23</v>
      </c>
      <c r="E3529" s="3">
        <f>HYPERLINK("https://sao.dolgi.msk.ru/account/1404240726/", 1404240726)</f>
        <v>1404240726</v>
      </c>
      <c r="F3529">
        <v>-2375.7399999999998</v>
      </c>
    </row>
    <row r="3530" spans="1:6" x14ac:dyDescent="0.25">
      <c r="A3530" t="s">
        <v>654</v>
      </c>
      <c r="B3530" t="s">
        <v>24</v>
      </c>
      <c r="C3530" s="5" t="str">
        <f>" кв. "&amp;B3530</f>
        <v xml:space="preserve"> кв. 20</v>
      </c>
      <c r="D3530" s="5" t="str">
        <f>CONCATENATE(A3530,C3530)</f>
        <v>Беломорская ул., дом 26 кв. 20</v>
      </c>
      <c r="E3530" s="3">
        <f>HYPERLINK("https://sao.dolgi.msk.ru/account/1404242393/", 1404242393)</f>
        <v>1404242393</v>
      </c>
      <c r="F3530">
        <v>275.57</v>
      </c>
    </row>
    <row r="3531" spans="1:6" hidden="1" x14ac:dyDescent="0.25">
      <c r="A3531" t="s">
        <v>654</v>
      </c>
      <c r="B3531" t="s">
        <v>24</v>
      </c>
      <c r="E3531" s="3">
        <f>HYPERLINK("https://sao.dolgi.msk.ru/account/1404242502/", 1404242502)</f>
        <v>1404242502</v>
      </c>
      <c r="F3531">
        <v>-2175.44</v>
      </c>
    </row>
    <row r="3532" spans="1:6" x14ac:dyDescent="0.25">
      <c r="A3532" t="s">
        <v>654</v>
      </c>
      <c r="B3532" t="s">
        <v>25</v>
      </c>
      <c r="C3532" s="5" t="str">
        <f>" кв. "&amp;B3532</f>
        <v xml:space="preserve"> кв. 21</v>
      </c>
      <c r="D3532" s="5" t="str">
        <f>CONCATENATE(A3532,C3532)</f>
        <v>Беломорская ул., дом 26 кв. 21</v>
      </c>
      <c r="E3532" s="3">
        <f>HYPERLINK("https://sao.dolgi.msk.ru/account/1404241243/", 1404241243)</f>
        <v>1404241243</v>
      </c>
      <c r="F3532">
        <v>2233.08</v>
      </c>
    </row>
    <row r="3533" spans="1:6" hidden="1" x14ac:dyDescent="0.25">
      <c r="A3533" t="s">
        <v>654</v>
      </c>
      <c r="B3533" t="s">
        <v>26</v>
      </c>
      <c r="E3533" s="3">
        <f>HYPERLINK("https://sao.dolgi.msk.ru/account/1404242625/", 1404242625)</f>
        <v>1404242625</v>
      </c>
      <c r="F3533">
        <v>-2380.37</v>
      </c>
    </row>
    <row r="3534" spans="1:6" hidden="1" x14ac:dyDescent="0.25">
      <c r="A3534" t="s">
        <v>654</v>
      </c>
      <c r="B3534" t="s">
        <v>27</v>
      </c>
      <c r="E3534" s="3">
        <f>HYPERLINK("https://sao.dolgi.msk.ru/account/1404242246/", 1404242246)</f>
        <v>1404242246</v>
      </c>
      <c r="F3534">
        <v>0</v>
      </c>
    </row>
    <row r="3535" spans="1:6" x14ac:dyDescent="0.25">
      <c r="A3535" t="s">
        <v>654</v>
      </c>
      <c r="B3535" t="s">
        <v>28</v>
      </c>
      <c r="C3535" s="5" t="str">
        <f>" кв. "&amp;B3535</f>
        <v xml:space="preserve"> кв. 24</v>
      </c>
      <c r="D3535" s="5" t="str">
        <f>CONCATENATE(A3535,C3535)</f>
        <v>Беломорская ул., дом 26 кв. 24</v>
      </c>
      <c r="E3535" s="3">
        <f>HYPERLINK("https://sao.dolgi.msk.ru/account/1404242254/", 1404242254)</f>
        <v>1404242254</v>
      </c>
      <c r="F3535">
        <v>1685.87</v>
      </c>
    </row>
    <row r="3536" spans="1:6" hidden="1" x14ac:dyDescent="0.25">
      <c r="A3536" t="s">
        <v>654</v>
      </c>
      <c r="B3536" t="s">
        <v>29</v>
      </c>
      <c r="E3536" s="3">
        <f>HYPERLINK("https://sao.dolgi.msk.ru/account/1404242967/", 1404242967)</f>
        <v>1404242967</v>
      </c>
      <c r="F3536">
        <v>-2159.1799999999998</v>
      </c>
    </row>
    <row r="3537" spans="1:6" hidden="1" x14ac:dyDescent="0.25">
      <c r="A3537" t="s">
        <v>654</v>
      </c>
      <c r="B3537" t="s">
        <v>30</v>
      </c>
      <c r="E3537" s="3">
        <f>HYPERLINK("https://sao.dolgi.msk.ru/account/1404242633/", 1404242633)</f>
        <v>1404242633</v>
      </c>
      <c r="F3537">
        <v>0</v>
      </c>
    </row>
    <row r="3538" spans="1:6" hidden="1" x14ac:dyDescent="0.25">
      <c r="A3538" t="s">
        <v>654</v>
      </c>
      <c r="B3538" t="s">
        <v>31</v>
      </c>
      <c r="E3538" s="3">
        <f>HYPERLINK("https://sao.dolgi.msk.ru/account/1404240881/", 1404240881)</f>
        <v>1404240881</v>
      </c>
      <c r="F3538">
        <v>-1788.74</v>
      </c>
    </row>
    <row r="3539" spans="1:6" x14ac:dyDescent="0.25">
      <c r="A3539" t="s">
        <v>654</v>
      </c>
      <c r="B3539" t="s">
        <v>32</v>
      </c>
      <c r="C3539" s="5" t="str">
        <f t="shared" ref="C3539:C3540" si="159">" кв. "&amp;B3539</f>
        <v xml:space="preserve"> кв. 28</v>
      </c>
      <c r="D3539" s="5" t="str">
        <f>CONCATENATE(A3539,C3539)</f>
        <v>Беломорская ул., дом 26 кв. 28</v>
      </c>
      <c r="E3539" s="3">
        <f>HYPERLINK("https://sao.dolgi.msk.ru/account/1404241251/", 1404241251)</f>
        <v>1404241251</v>
      </c>
      <c r="F3539">
        <v>2210.94</v>
      </c>
    </row>
    <row r="3540" spans="1:6" x14ac:dyDescent="0.25">
      <c r="A3540" t="s">
        <v>654</v>
      </c>
      <c r="B3540" t="s">
        <v>33</v>
      </c>
      <c r="C3540" s="5" t="str">
        <f t="shared" si="159"/>
        <v xml:space="preserve"> кв. 29</v>
      </c>
      <c r="D3540" s="5" t="str">
        <f>CONCATENATE(A3540,C3540)</f>
        <v>Беломорская ул., дом 26 кв. 29</v>
      </c>
      <c r="E3540" s="3">
        <f>HYPERLINK("https://sao.dolgi.msk.ru/account/1404242975/", 1404242975)</f>
        <v>1404242975</v>
      </c>
      <c r="F3540">
        <v>2004.08</v>
      </c>
    </row>
    <row r="3541" spans="1:6" hidden="1" x14ac:dyDescent="0.25">
      <c r="A3541" t="s">
        <v>654</v>
      </c>
      <c r="B3541" t="s">
        <v>34</v>
      </c>
      <c r="E3541" s="3">
        <f>HYPERLINK("https://sao.dolgi.msk.ru/account/1404242262/", 1404242262)</f>
        <v>1404242262</v>
      </c>
      <c r="F3541">
        <v>-2380.37</v>
      </c>
    </row>
    <row r="3542" spans="1:6" hidden="1" x14ac:dyDescent="0.25">
      <c r="A3542" t="s">
        <v>654</v>
      </c>
      <c r="B3542" t="s">
        <v>35</v>
      </c>
      <c r="E3542" s="3">
        <f>HYPERLINK("https://sao.dolgi.msk.ru/account/1404240929/", 1404240929)</f>
        <v>1404240929</v>
      </c>
      <c r="F3542">
        <v>-1608.48</v>
      </c>
    </row>
    <row r="3543" spans="1:6" hidden="1" x14ac:dyDescent="0.25">
      <c r="A3543" t="s">
        <v>654</v>
      </c>
      <c r="B3543" t="s">
        <v>36</v>
      </c>
      <c r="E3543" s="3">
        <f>HYPERLINK("https://sao.dolgi.msk.ru/account/1404242289/", 1404242289)</f>
        <v>1404242289</v>
      </c>
      <c r="F3543">
        <v>-3226.19</v>
      </c>
    </row>
    <row r="3544" spans="1:6" hidden="1" x14ac:dyDescent="0.25">
      <c r="A3544" t="s">
        <v>654</v>
      </c>
      <c r="B3544" t="s">
        <v>37</v>
      </c>
      <c r="E3544" s="3">
        <f>HYPERLINK("https://sao.dolgi.msk.ru/account/1404241278/", 1404241278)</f>
        <v>1404241278</v>
      </c>
      <c r="F3544">
        <v>-1656.02</v>
      </c>
    </row>
    <row r="3545" spans="1:6" x14ac:dyDescent="0.25">
      <c r="A3545" t="s">
        <v>654</v>
      </c>
      <c r="B3545" t="s">
        <v>38</v>
      </c>
      <c r="C3545" s="5" t="str">
        <f>" кв. "&amp;B3545</f>
        <v xml:space="preserve"> кв. 34</v>
      </c>
      <c r="D3545" s="5" t="str">
        <f>CONCATENATE(A3545,C3545)</f>
        <v>Беломорская ул., дом 26 кв. 34</v>
      </c>
      <c r="E3545" s="3">
        <f>HYPERLINK("https://sao.dolgi.msk.ru/account/1404242297/", 1404242297)</f>
        <v>1404242297</v>
      </c>
      <c r="F3545">
        <v>1628.95</v>
      </c>
    </row>
    <row r="3546" spans="1:6" hidden="1" x14ac:dyDescent="0.25">
      <c r="A3546" t="s">
        <v>654</v>
      </c>
      <c r="B3546" t="s">
        <v>39</v>
      </c>
      <c r="E3546" s="3">
        <f>HYPERLINK("https://sao.dolgi.msk.ru/account/1404243337/", 1404243337)</f>
        <v>1404243337</v>
      </c>
      <c r="F3546">
        <v>-1471.08</v>
      </c>
    </row>
    <row r="3547" spans="1:6" hidden="1" x14ac:dyDescent="0.25">
      <c r="A3547" t="s">
        <v>654</v>
      </c>
      <c r="B3547" t="s">
        <v>40</v>
      </c>
      <c r="E3547" s="3">
        <f>HYPERLINK("https://sao.dolgi.msk.ru/account/1404242641/", 1404242641)</f>
        <v>1404242641</v>
      </c>
      <c r="F3547">
        <v>0</v>
      </c>
    </row>
    <row r="3548" spans="1:6" hidden="1" x14ac:dyDescent="0.25">
      <c r="A3548" t="s">
        <v>654</v>
      </c>
      <c r="B3548" t="s">
        <v>41</v>
      </c>
      <c r="E3548" s="3">
        <f>HYPERLINK("https://sao.dolgi.msk.ru/account/1404242668/", 1404242668)</f>
        <v>1404242668</v>
      </c>
      <c r="F3548">
        <v>-2748.12</v>
      </c>
    </row>
    <row r="3549" spans="1:6" hidden="1" x14ac:dyDescent="0.25">
      <c r="A3549" t="s">
        <v>654</v>
      </c>
      <c r="B3549" t="s">
        <v>42</v>
      </c>
      <c r="E3549" s="3">
        <f>HYPERLINK("https://sao.dolgi.msk.ru/account/1404242676/", 1404242676)</f>
        <v>1404242676</v>
      </c>
      <c r="F3549">
        <v>-1187.8699999999999</v>
      </c>
    </row>
    <row r="3550" spans="1:6" hidden="1" x14ac:dyDescent="0.25">
      <c r="A3550" t="s">
        <v>654</v>
      </c>
      <c r="B3550" t="s">
        <v>43</v>
      </c>
      <c r="E3550" s="3">
        <f>HYPERLINK("https://sao.dolgi.msk.ru/account/1404241059/", 1404241059)</f>
        <v>1404241059</v>
      </c>
      <c r="F3550">
        <v>0</v>
      </c>
    </row>
    <row r="3551" spans="1:6" hidden="1" x14ac:dyDescent="0.25">
      <c r="A3551" t="s">
        <v>654</v>
      </c>
      <c r="B3551" t="s">
        <v>43</v>
      </c>
      <c r="E3551" s="3">
        <f>HYPERLINK("https://sao.dolgi.msk.ru/account/1404242318/", 1404242318)</f>
        <v>1404242318</v>
      </c>
      <c r="F3551">
        <v>0</v>
      </c>
    </row>
    <row r="3552" spans="1:6" x14ac:dyDescent="0.25">
      <c r="A3552" t="s">
        <v>654</v>
      </c>
      <c r="B3552" t="s">
        <v>44</v>
      </c>
      <c r="C3552" s="5" t="str">
        <f>" кв. "&amp;B3552</f>
        <v xml:space="preserve"> кв. 40</v>
      </c>
      <c r="D3552" s="5" t="str">
        <f>CONCATENATE(A3552,C3552)</f>
        <v>Беломорская ул., дом 26 кв. 40</v>
      </c>
      <c r="E3552" s="3">
        <f>HYPERLINK("https://sao.dolgi.msk.ru/account/1404242684/", 1404242684)</f>
        <v>1404242684</v>
      </c>
      <c r="F3552">
        <v>2207.77</v>
      </c>
    </row>
    <row r="3553" spans="1:6" hidden="1" x14ac:dyDescent="0.25">
      <c r="A3553" t="s">
        <v>654</v>
      </c>
      <c r="B3553" t="s">
        <v>45</v>
      </c>
      <c r="E3553" s="3">
        <f>HYPERLINK("https://sao.dolgi.msk.ru/account/1404242692/", 1404242692)</f>
        <v>1404242692</v>
      </c>
      <c r="F3553">
        <v>-3244.69</v>
      </c>
    </row>
    <row r="3554" spans="1:6" hidden="1" x14ac:dyDescent="0.25">
      <c r="A3554" t="s">
        <v>654</v>
      </c>
      <c r="B3554" t="s">
        <v>46</v>
      </c>
      <c r="E3554" s="3">
        <f>HYPERLINK("https://sao.dolgi.msk.ru/account/1404241665/", 1404241665)</f>
        <v>1404241665</v>
      </c>
      <c r="F3554">
        <v>0</v>
      </c>
    </row>
    <row r="3555" spans="1:6" hidden="1" x14ac:dyDescent="0.25">
      <c r="A3555" t="s">
        <v>654</v>
      </c>
      <c r="B3555" t="s">
        <v>47</v>
      </c>
      <c r="E3555" s="3">
        <f>HYPERLINK("https://sao.dolgi.msk.ru/account/1404242983/", 1404242983)</f>
        <v>1404242983</v>
      </c>
      <c r="F3555">
        <v>-2286.4499999999998</v>
      </c>
    </row>
    <row r="3556" spans="1:6" hidden="1" x14ac:dyDescent="0.25">
      <c r="A3556" t="s">
        <v>654</v>
      </c>
      <c r="B3556" t="s">
        <v>48</v>
      </c>
      <c r="E3556" s="3">
        <f>HYPERLINK("https://sao.dolgi.msk.ru/account/1404240937/", 1404240937)</f>
        <v>1404240937</v>
      </c>
      <c r="F3556">
        <v>-539.26</v>
      </c>
    </row>
    <row r="3557" spans="1:6" hidden="1" x14ac:dyDescent="0.25">
      <c r="A3557" t="s">
        <v>654</v>
      </c>
      <c r="B3557" t="s">
        <v>48</v>
      </c>
      <c r="E3557" s="3">
        <f>HYPERLINK("https://sao.dolgi.msk.ru/account/1404242043/", 1404242043)</f>
        <v>1404242043</v>
      </c>
      <c r="F3557">
        <v>-2156.96</v>
      </c>
    </row>
    <row r="3558" spans="1:6" x14ac:dyDescent="0.25">
      <c r="A3558" t="s">
        <v>654</v>
      </c>
      <c r="B3558" t="s">
        <v>49</v>
      </c>
      <c r="C3558" s="5" t="str">
        <f t="shared" ref="C3558:C3560" si="160">" кв. "&amp;B3558</f>
        <v xml:space="preserve"> кв. 45</v>
      </c>
      <c r="D3558" s="5" t="str">
        <f>CONCATENATE(A3558,C3558)</f>
        <v>Беломорская ул., дом 26 кв. 45</v>
      </c>
      <c r="E3558" s="3">
        <f>HYPERLINK("https://sao.dolgi.msk.ru/account/1404242086/", 1404242086)</f>
        <v>1404242086</v>
      </c>
      <c r="F3558">
        <v>2186.25</v>
      </c>
    </row>
    <row r="3559" spans="1:6" x14ac:dyDescent="0.25">
      <c r="A3559" t="s">
        <v>654</v>
      </c>
      <c r="B3559" t="s">
        <v>50</v>
      </c>
      <c r="C3559" s="5" t="str">
        <f t="shared" si="160"/>
        <v xml:space="preserve"> кв. 46</v>
      </c>
      <c r="D3559" s="5" t="str">
        <f>CONCATENATE(A3559,C3559)</f>
        <v>Беломорская ул., дом 26 кв. 46</v>
      </c>
      <c r="E3559" s="3">
        <f>HYPERLINK("https://sao.dolgi.msk.ru/account/1404241366/", 1404241366)</f>
        <v>1404241366</v>
      </c>
      <c r="F3559">
        <v>583</v>
      </c>
    </row>
    <row r="3560" spans="1:6" x14ac:dyDescent="0.25">
      <c r="A3560" t="s">
        <v>654</v>
      </c>
      <c r="B3560" t="s">
        <v>51</v>
      </c>
      <c r="C3560" s="5" t="str">
        <f t="shared" si="160"/>
        <v xml:space="preserve"> кв. 47</v>
      </c>
      <c r="D3560" s="5" t="str">
        <f>CONCATENATE(A3560,C3560)</f>
        <v>Беломорская ул., дом 26 кв. 47</v>
      </c>
      <c r="E3560" s="3">
        <f>HYPERLINK("https://sao.dolgi.msk.ru/account/1404243361/", 1404243361)</f>
        <v>1404243361</v>
      </c>
      <c r="F3560">
        <v>1017.6</v>
      </c>
    </row>
    <row r="3561" spans="1:6" hidden="1" x14ac:dyDescent="0.25">
      <c r="A3561" t="s">
        <v>654</v>
      </c>
      <c r="B3561" t="s">
        <v>52</v>
      </c>
      <c r="E3561" s="3">
        <f>HYPERLINK("https://sao.dolgi.msk.ru/account/1404242094/", 1404242094)</f>
        <v>1404242094</v>
      </c>
      <c r="F3561">
        <v>-2761.3</v>
      </c>
    </row>
    <row r="3562" spans="1:6" x14ac:dyDescent="0.25">
      <c r="A3562" t="s">
        <v>654</v>
      </c>
      <c r="B3562" t="s">
        <v>53</v>
      </c>
      <c r="C3562" s="5" t="str">
        <f>" кв. "&amp;B3562</f>
        <v xml:space="preserve"> кв. 49</v>
      </c>
      <c r="D3562" s="5" t="str">
        <f>CONCATENATE(A3562,C3562)</f>
        <v>Беломорская ул., дом 26 кв. 49</v>
      </c>
      <c r="E3562" s="3">
        <f>HYPERLINK("https://sao.dolgi.msk.ru/account/1404242385/", 1404242385)</f>
        <v>1404242385</v>
      </c>
      <c r="F3562">
        <v>2100.23</v>
      </c>
    </row>
    <row r="3563" spans="1:6" hidden="1" x14ac:dyDescent="0.25">
      <c r="A3563" t="s">
        <v>654</v>
      </c>
      <c r="B3563" t="s">
        <v>54</v>
      </c>
      <c r="E3563" s="3">
        <f>HYPERLINK("https://sao.dolgi.msk.ru/account/1404243388/", 1404243388)</f>
        <v>1404243388</v>
      </c>
      <c r="F3563">
        <v>-1788.74</v>
      </c>
    </row>
    <row r="3564" spans="1:6" x14ac:dyDescent="0.25">
      <c r="A3564" t="s">
        <v>654</v>
      </c>
      <c r="B3564" t="s">
        <v>55</v>
      </c>
      <c r="C3564" s="5" t="str">
        <f>" кв. "&amp;B3564</f>
        <v xml:space="preserve"> кв. 51</v>
      </c>
      <c r="D3564" s="5" t="str">
        <f>CONCATENATE(A3564,C3564)</f>
        <v>Беломорская ул., дом 26 кв. 51</v>
      </c>
      <c r="E3564" s="3">
        <f>HYPERLINK("https://sao.dolgi.msk.ru/account/1404241374/", 1404241374)</f>
        <v>1404241374</v>
      </c>
      <c r="F3564">
        <v>1214.5899999999999</v>
      </c>
    </row>
    <row r="3565" spans="1:6" hidden="1" x14ac:dyDescent="0.25">
      <c r="A3565" t="s">
        <v>654</v>
      </c>
      <c r="B3565" t="s">
        <v>56</v>
      </c>
      <c r="E3565" s="3">
        <f>HYPERLINK("https://sao.dolgi.msk.ru/account/1404241382/", 1404241382)</f>
        <v>1404241382</v>
      </c>
      <c r="F3565">
        <v>-3873.29</v>
      </c>
    </row>
    <row r="3566" spans="1:6" hidden="1" x14ac:dyDescent="0.25">
      <c r="A3566" t="s">
        <v>654</v>
      </c>
      <c r="B3566" t="s">
        <v>57</v>
      </c>
      <c r="E3566" s="3">
        <f>HYPERLINK("https://sao.dolgi.msk.ru/account/1404242377/", 1404242377)</f>
        <v>1404242377</v>
      </c>
      <c r="F3566">
        <v>-6138.1</v>
      </c>
    </row>
    <row r="3567" spans="1:6" hidden="1" x14ac:dyDescent="0.25">
      <c r="A3567" t="s">
        <v>654</v>
      </c>
      <c r="B3567" t="s">
        <v>57</v>
      </c>
      <c r="E3567" s="3">
        <f>HYPERLINK("https://sao.dolgi.msk.ru/account/1404243118/", 1404243118)</f>
        <v>1404243118</v>
      </c>
      <c r="F3567">
        <v>-767.26</v>
      </c>
    </row>
    <row r="3568" spans="1:6" x14ac:dyDescent="0.25">
      <c r="A3568" t="s">
        <v>654</v>
      </c>
      <c r="B3568" t="s">
        <v>58</v>
      </c>
      <c r="C3568" s="5" t="str">
        <f>" кв. "&amp;B3568</f>
        <v xml:space="preserve"> кв. 54</v>
      </c>
      <c r="D3568" s="5" t="str">
        <f>CONCATENATE(A3568,C3568)</f>
        <v>Беломорская ул., дом 26 кв. 54</v>
      </c>
      <c r="E3568" s="3">
        <f>HYPERLINK("https://sao.dolgi.msk.ru/account/1404241032/", 1404241032)</f>
        <v>1404241032</v>
      </c>
      <c r="F3568">
        <v>1224.08</v>
      </c>
    </row>
    <row r="3569" spans="1:6" hidden="1" x14ac:dyDescent="0.25">
      <c r="A3569" t="s">
        <v>654</v>
      </c>
      <c r="B3569" t="s">
        <v>59</v>
      </c>
      <c r="E3569" s="3">
        <f>HYPERLINK("https://sao.dolgi.msk.ru/account/1404243177/", 1404243177)</f>
        <v>1404243177</v>
      </c>
      <c r="F3569">
        <v>-1529.51</v>
      </c>
    </row>
    <row r="3570" spans="1:6" hidden="1" x14ac:dyDescent="0.25">
      <c r="A3570" t="s">
        <v>654</v>
      </c>
      <c r="B3570" t="s">
        <v>60</v>
      </c>
      <c r="E3570" s="3">
        <f>HYPERLINK("https://sao.dolgi.msk.ru/account/1404240689/", 1404240689)</f>
        <v>1404240689</v>
      </c>
      <c r="F3570">
        <v>-3119.9</v>
      </c>
    </row>
    <row r="3571" spans="1:6" hidden="1" x14ac:dyDescent="0.25">
      <c r="A3571" t="s">
        <v>654</v>
      </c>
      <c r="B3571" t="s">
        <v>61</v>
      </c>
      <c r="E3571" s="3">
        <f>HYPERLINK("https://sao.dolgi.msk.ru/account/1404242422/", 1404242422)</f>
        <v>1404242422</v>
      </c>
      <c r="F3571">
        <v>-3836.31</v>
      </c>
    </row>
    <row r="3572" spans="1:6" x14ac:dyDescent="0.25">
      <c r="A3572" t="s">
        <v>654</v>
      </c>
      <c r="B3572" t="s">
        <v>62</v>
      </c>
      <c r="C3572" s="5" t="str">
        <f>" кв. "&amp;B3572</f>
        <v xml:space="preserve"> кв. 58</v>
      </c>
      <c r="D3572" s="5" t="str">
        <f>CONCATENATE(A3572,C3572)</f>
        <v>Беломорская ул., дом 26 кв. 58</v>
      </c>
      <c r="E3572" s="3">
        <f>HYPERLINK("https://sao.dolgi.msk.ru/account/1404241796/", 1404241796)</f>
        <v>1404241796</v>
      </c>
      <c r="F3572">
        <v>1227.24</v>
      </c>
    </row>
    <row r="3573" spans="1:6" hidden="1" x14ac:dyDescent="0.25">
      <c r="A3573" t="s">
        <v>654</v>
      </c>
      <c r="B3573" t="s">
        <v>63</v>
      </c>
      <c r="E3573" s="3">
        <f>HYPERLINK("https://sao.dolgi.msk.ru/account/1404241809/", 1404241809)</f>
        <v>1404241809</v>
      </c>
      <c r="F3573">
        <v>-1770.25</v>
      </c>
    </row>
    <row r="3574" spans="1:6" hidden="1" x14ac:dyDescent="0.25">
      <c r="A3574" t="s">
        <v>654</v>
      </c>
      <c r="B3574" t="s">
        <v>64</v>
      </c>
      <c r="E3574" s="3">
        <f>HYPERLINK("https://sao.dolgi.msk.ru/account/1404241454/", 1404241454)</f>
        <v>1404241454</v>
      </c>
      <c r="F3574">
        <v>0</v>
      </c>
    </row>
    <row r="3575" spans="1:6" hidden="1" x14ac:dyDescent="0.25">
      <c r="A3575" t="s">
        <v>654</v>
      </c>
      <c r="B3575" t="s">
        <v>65</v>
      </c>
      <c r="E3575" s="3">
        <f>HYPERLINK("https://sao.dolgi.msk.ru/account/1404241956/", 1404241956)</f>
        <v>1404241956</v>
      </c>
      <c r="F3575">
        <v>-286.48</v>
      </c>
    </row>
    <row r="3576" spans="1:6" hidden="1" x14ac:dyDescent="0.25">
      <c r="A3576" t="s">
        <v>654</v>
      </c>
      <c r="B3576" t="s">
        <v>65</v>
      </c>
      <c r="E3576" s="3">
        <f>HYPERLINK("https://sao.dolgi.msk.ru/account/1404242115/", 1404242115)</f>
        <v>1404242115</v>
      </c>
      <c r="F3576">
        <v>-832.7</v>
      </c>
    </row>
    <row r="3577" spans="1:6" hidden="1" x14ac:dyDescent="0.25">
      <c r="A3577" t="s">
        <v>654</v>
      </c>
      <c r="B3577" t="s">
        <v>66</v>
      </c>
      <c r="E3577" s="3">
        <f>HYPERLINK("https://sao.dolgi.msk.ru/account/1404243193/", 1404243193)</f>
        <v>1404243193</v>
      </c>
      <c r="F3577">
        <v>-749.96</v>
      </c>
    </row>
    <row r="3578" spans="1:6" hidden="1" x14ac:dyDescent="0.25">
      <c r="A3578" t="s">
        <v>654</v>
      </c>
      <c r="B3578" t="s">
        <v>67</v>
      </c>
      <c r="E3578" s="3">
        <f>HYPERLINK("https://sao.dolgi.msk.ru/account/1404241075/", 1404241075)</f>
        <v>1404241075</v>
      </c>
      <c r="F3578">
        <v>0</v>
      </c>
    </row>
    <row r="3579" spans="1:6" hidden="1" x14ac:dyDescent="0.25">
      <c r="A3579" t="s">
        <v>654</v>
      </c>
      <c r="B3579" t="s">
        <v>68</v>
      </c>
      <c r="E3579" s="3">
        <f>HYPERLINK("https://sao.dolgi.msk.ru/account/1404242027/", 1404242027)</f>
        <v>1404242027</v>
      </c>
      <c r="F3579">
        <v>0</v>
      </c>
    </row>
    <row r="3580" spans="1:6" hidden="1" x14ac:dyDescent="0.25">
      <c r="A3580" t="s">
        <v>654</v>
      </c>
      <c r="B3580" t="s">
        <v>69</v>
      </c>
      <c r="E3580" s="3">
        <f>HYPERLINK("https://sao.dolgi.msk.ru/account/1404241702/", 1404241702)</f>
        <v>1404241702</v>
      </c>
      <c r="F3580">
        <v>-255.34</v>
      </c>
    </row>
    <row r="3581" spans="1:6" hidden="1" x14ac:dyDescent="0.25">
      <c r="A3581" t="s">
        <v>654</v>
      </c>
      <c r="B3581" t="s">
        <v>69</v>
      </c>
      <c r="E3581" s="3">
        <f>HYPERLINK("https://sao.dolgi.msk.ru/account/1404243054/", 1404243054)</f>
        <v>1404243054</v>
      </c>
      <c r="F3581">
        <v>-2426.6</v>
      </c>
    </row>
    <row r="3582" spans="1:6" hidden="1" x14ac:dyDescent="0.25">
      <c r="A3582" t="s">
        <v>654</v>
      </c>
      <c r="B3582" t="s">
        <v>70</v>
      </c>
      <c r="E3582" s="3">
        <f>HYPERLINK("https://sao.dolgi.msk.ru/account/1404240988/", 1404240988)</f>
        <v>1404240988</v>
      </c>
      <c r="F3582">
        <v>0</v>
      </c>
    </row>
    <row r="3583" spans="1:6" x14ac:dyDescent="0.25">
      <c r="A3583" t="s">
        <v>654</v>
      </c>
      <c r="B3583" t="s">
        <v>71</v>
      </c>
      <c r="C3583" s="5" t="str">
        <f>" кв. "&amp;B3583</f>
        <v xml:space="preserve"> кв. 67</v>
      </c>
      <c r="D3583" s="5" t="str">
        <f>CONCATENATE(A3583,C3583)</f>
        <v>Беломорская ул., дом 26 кв. 67</v>
      </c>
      <c r="E3583" s="3">
        <f>HYPERLINK("https://sao.dolgi.msk.ru/account/1404240996/", 1404240996)</f>
        <v>1404240996</v>
      </c>
      <c r="F3583">
        <v>1619.46</v>
      </c>
    </row>
    <row r="3584" spans="1:6" hidden="1" x14ac:dyDescent="0.25">
      <c r="A3584" t="s">
        <v>654</v>
      </c>
      <c r="B3584" t="s">
        <v>72</v>
      </c>
      <c r="E3584" s="3">
        <f>HYPERLINK("https://sao.dolgi.msk.ru/account/1404241307/", 1404241307)</f>
        <v>1404241307</v>
      </c>
      <c r="F3584">
        <v>-3281.67</v>
      </c>
    </row>
    <row r="3585" spans="1:6" hidden="1" x14ac:dyDescent="0.25">
      <c r="A3585" t="s">
        <v>654</v>
      </c>
      <c r="B3585" t="s">
        <v>73</v>
      </c>
      <c r="E3585" s="3">
        <f>HYPERLINK("https://sao.dolgi.msk.ru/account/1404242035/", 1404242035)</f>
        <v>1404242035</v>
      </c>
      <c r="F3585">
        <v>0</v>
      </c>
    </row>
    <row r="3586" spans="1:6" x14ac:dyDescent="0.25">
      <c r="A3586" t="s">
        <v>654</v>
      </c>
      <c r="B3586" t="s">
        <v>74</v>
      </c>
      <c r="C3586" s="5" t="str">
        <f t="shared" ref="C3586:C3588" si="161">" кв. "&amp;B3586</f>
        <v xml:space="preserve"> кв. 70</v>
      </c>
      <c r="D3586" s="5" t="str">
        <f>CONCATENATE(A3586,C3586)</f>
        <v>Беломорская ул., дом 26 кв. 70</v>
      </c>
      <c r="E3586" s="3">
        <f>HYPERLINK("https://sao.dolgi.msk.ru/account/1404241008/", 1404241008)</f>
        <v>1404241008</v>
      </c>
      <c r="F3586">
        <v>809.73</v>
      </c>
    </row>
    <row r="3587" spans="1:6" x14ac:dyDescent="0.25">
      <c r="A3587" t="s">
        <v>654</v>
      </c>
      <c r="B3587" t="s">
        <v>75</v>
      </c>
      <c r="C3587" s="5" t="str">
        <f t="shared" si="161"/>
        <v xml:space="preserve"> кв. 71</v>
      </c>
      <c r="D3587" s="5" t="str">
        <f>CONCATENATE(A3587,C3587)</f>
        <v>Беломорская ул., дом 26 кв. 71</v>
      </c>
      <c r="E3587" s="3">
        <f>HYPERLINK("https://sao.dolgi.msk.ru/account/1404241323/", 1404241323)</f>
        <v>1404241323</v>
      </c>
      <c r="F3587">
        <v>1632.11</v>
      </c>
    </row>
    <row r="3588" spans="1:6" x14ac:dyDescent="0.25">
      <c r="A3588" t="s">
        <v>654</v>
      </c>
      <c r="B3588" t="s">
        <v>76</v>
      </c>
      <c r="C3588" s="5" t="str">
        <f t="shared" si="161"/>
        <v xml:space="preserve"> кв. 72</v>
      </c>
      <c r="D3588" s="5" t="str">
        <f>CONCATENATE(A3588,C3588)</f>
        <v>Беломорская ул., дом 26 кв. 72</v>
      </c>
      <c r="E3588" s="3">
        <f>HYPERLINK("https://sao.dolgi.msk.ru/account/1404243062/", 1404243062)</f>
        <v>1404243062</v>
      </c>
      <c r="F3588">
        <v>2239.4</v>
      </c>
    </row>
    <row r="3589" spans="1:6" hidden="1" x14ac:dyDescent="0.25">
      <c r="A3589" t="s">
        <v>654</v>
      </c>
      <c r="B3589" t="s">
        <v>77</v>
      </c>
      <c r="E3589" s="3">
        <f>HYPERLINK("https://sao.dolgi.msk.ru/account/1404241681/", 1404241681)</f>
        <v>1404241681</v>
      </c>
      <c r="F3589">
        <v>-2458.9499999999998</v>
      </c>
    </row>
    <row r="3590" spans="1:6" hidden="1" x14ac:dyDescent="0.25">
      <c r="A3590" t="s">
        <v>654</v>
      </c>
      <c r="B3590" t="s">
        <v>78</v>
      </c>
      <c r="E3590" s="3">
        <f>HYPERLINK("https://sao.dolgi.msk.ru/account/1404243134/", 1404243134)</f>
        <v>1404243134</v>
      </c>
      <c r="F3590">
        <v>-1482.75</v>
      </c>
    </row>
    <row r="3591" spans="1:6" hidden="1" x14ac:dyDescent="0.25">
      <c r="A3591" t="s">
        <v>654</v>
      </c>
      <c r="B3591" t="s">
        <v>79</v>
      </c>
      <c r="E3591" s="3">
        <f>HYPERLINK("https://sao.dolgi.msk.ru/account/1404242107/", 1404242107)</f>
        <v>1404242107</v>
      </c>
      <c r="F3591">
        <v>0</v>
      </c>
    </row>
    <row r="3592" spans="1:6" hidden="1" x14ac:dyDescent="0.25">
      <c r="A3592" t="s">
        <v>654</v>
      </c>
      <c r="B3592" t="s">
        <v>80</v>
      </c>
      <c r="E3592" s="3">
        <f>HYPERLINK("https://sao.dolgi.msk.ru/account/1404241411/", 1404241411)</f>
        <v>1404241411</v>
      </c>
      <c r="F3592">
        <v>-1737.89</v>
      </c>
    </row>
    <row r="3593" spans="1:6" hidden="1" x14ac:dyDescent="0.25">
      <c r="A3593" t="s">
        <v>654</v>
      </c>
      <c r="B3593" t="s">
        <v>81</v>
      </c>
      <c r="E3593" s="3">
        <f>HYPERLINK("https://sao.dolgi.msk.ru/account/1404241753/", 1404241753)</f>
        <v>1404241753</v>
      </c>
      <c r="F3593">
        <v>-3235.44</v>
      </c>
    </row>
    <row r="3594" spans="1:6" hidden="1" x14ac:dyDescent="0.25">
      <c r="A3594" t="s">
        <v>654</v>
      </c>
      <c r="B3594" t="s">
        <v>82</v>
      </c>
      <c r="E3594" s="3">
        <f>HYPERLINK("https://sao.dolgi.msk.ru/account/1404241761/", 1404241761)</f>
        <v>1404241761</v>
      </c>
      <c r="F3594">
        <v>-1185.57</v>
      </c>
    </row>
    <row r="3595" spans="1:6" hidden="1" x14ac:dyDescent="0.25">
      <c r="A3595" t="s">
        <v>654</v>
      </c>
      <c r="B3595" t="s">
        <v>82</v>
      </c>
      <c r="E3595" s="3">
        <f>HYPERLINK("https://sao.dolgi.msk.ru/account/1404242772/", 1404242772)</f>
        <v>1404242772</v>
      </c>
      <c r="F3595">
        <v>-1185.57</v>
      </c>
    </row>
    <row r="3596" spans="1:6" hidden="1" x14ac:dyDescent="0.25">
      <c r="A3596" t="s">
        <v>654</v>
      </c>
      <c r="B3596" t="s">
        <v>83</v>
      </c>
      <c r="E3596" s="3">
        <f>HYPERLINK("https://sao.dolgi.msk.ru/account/1404243142/", 1404243142)</f>
        <v>1404243142</v>
      </c>
      <c r="F3596">
        <v>-1470.77</v>
      </c>
    </row>
    <row r="3597" spans="1:6" x14ac:dyDescent="0.25">
      <c r="A3597" t="s">
        <v>654</v>
      </c>
      <c r="B3597" t="s">
        <v>84</v>
      </c>
      <c r="C3597" s="5" t="str">
        <f>" кв. "&amp;B3597</f>
        <v xml:space="preserve"> кв. 80</v>
      </c>
      <c r="D3597" s="5" t="str">
        <f>CONCATENATE(A3597,C3597)</f>
        <v>Беломорская ул., дом 26 кв. 80</v>
      </c>
      <c r="E3597" s="3">
        <f>HYPERLINK("https://sao.dolgi.msk.ru/account/1404241446/", 1404241446)</f>
        <v>1404241446</v>
      </c>
      <c r="F3597">
        <v>1372.74</v>
      </c>
    </row>
    <row r="3598" spans="1:6" hidden="1" x14ac:dyDescent="0.25">
      <c r="A3598" t="s">
        <v>654</v>
      </c>
      <c r="B3598" t="s">
        <v>85</v>
      </c>
      <c r="E3598" s="3">
        <f>HYPERLINK("https://sao.dolgi.msk.ru/account/1404242406/", 1404242406)</f>
        <v>1404242406</v>
      </c>
      <c r="F3598">
        <v>-3230.82</v>
      </c>
    </row>
    <row r="3599" spans="1:6" hidden="1" x14ac:dyDescent="0.25">
      <c r="A3599" t="s">
        <v>654</v>
      </c>
      <c r="B3599" t="s">
        <v>86</v>
      </c>
      <c r="E3599" s="3">
        <f>HYPERLINK("https://sao.dolgi.msk.ru/account/1404241788/", 1404241788)</f>
        <v>1404241788</v>
      </c>
      <c r="F3599">
        <v>-1328.2</v>
      </c>
    </row>
    <row r="3600" spans="1:6" hidden="1" x14ac:dyDescent="0.25">
      <c r="A3600" t="s">
        <v>654</v>
      </c>
      <c r="B3600" t="s">
        <v>87</v>
      </c>
      <c r="E3600" s="3">
        <f>HYPERLINK("https://sao.dolgi.msk.ru/account/1404242756/", 1404242756)</f>
        <v>1404242756</v>
      </c>
      <c r="F3600">
        <v>-1885</v>
      </c>
    </row>
    <row r="3601" spans="1:6" hidden="1" x14ac:dyDescent="0.25">
      <c r="A3601" t="s">
        <v>654</v>
      </c>
      <c r="B3601" t="s">
        <v>88</v>
      </c>
      <c r="E3601" s="3">
        <f>HYPERLINK("https://sao.dolgi.msk.ru/account/1404241403/", 1404241403)</f>
        <v>1404241403</v>
      </c>
      <c r="F3601">
        <v>-3277.05</v>
      </c>
    </row>
    <row r="3602" spans="1:6" hidden="1" x14ac:dyDescent="0.25">
      <c r="A3602" t="s">
        <v>654</v>
      </c>
      <c r="B3602" t="s">
        <v>89</v>
      </c>
      <c r="E3602" s="3">
        <f>HYPERLINK("https://sao.dolgi.msk.ru/account/1404242764/", 1404242764)</f>
        <v>1404242764</v>
      </c>
      <c r="F3602">
        <v>0</v>
      </c>
    </row>
    <row r="3603" spans="1:6" hidden="1" x14ac:dyDescent="0.25">
      <c r="A3603" t="s">
        <v>654</v>
      </c>
      <c r="B3603" t="s">
        <v>90</v>
      </c>
      <c r="E3603" s="3">
        <f>HYPERLINK("https://sao.dolgi.msk.ru/account/1404240814/", 1404240814)</f>
        <v>1404240814</v>
      </c>
      <c r="F3603">
        <v>-1475.4</v>
      </c>
    </row>
    <row r="3604" spans="1:6" hidden="1" x14ac:dyDescent="0.25">
      <c r="A3604" t="s">
        <v>654</v>
      </c>
      <c r="B3604" t="s">
        <v>91</v>
      </c>
      <c r="E3604" s="3">
        <f>HYPERLINK("https://sao.dolgi.msk.ru/account/1404242924/", 1404242924)</f>
        <v>1404242924</v>
      </c>
      <c r="F3604">
        <v>-2371.12</v>
      </c>
    </row>
    <row r="3605" spans="1:6" hidden="1" x14ac:dyDescent="0.25">
      <c r="A3605" t="s">
        <v>654</v>
      </c>
      <c r="B3605" t="s">
        <v>92</v>
      </c>
      <c r="E3605" s="3">
        <f>HYPERLINK("https://sao.dolgi.msk.ru/account/1404242932/", 1404242932)</f>
        <v>1404242932</v>
      </c>
      <c r="F3605">
        <v>0</v>
      </c>
    </row>
    <row r="3606" spans="1:6" x14ac:dyDescent="0.25">
      <c r="A3606" t="s">
        <v>654</v>
      </c>
      <c r="B3606" t="s">
        <v>93</v>
      </c>
      <c r="C3606" s="5" t="str">
        <f>" кв. "&amp;B3606</f>
        <v xml:space="preserve"> кв. 89</v>
      </c>
      <c r="D3606" s="5" t="str">
        <f>CONCATENATE(A3606,C3606)</f>
        <v>Беломорская ул., дом 26 кв. 89</v>
      </c>
      <c r="E3606" s="3">
        <f>HYPERLINK("https://sao.dolgi.msk.ru/account/1404241614/", 1404241614)</f>
        <v>1404241614</v>
      </c>
      <c r="F3606">
        <v>2226</v>
      </c>
    </row>
    <row r="3607" spans="1:6" hidden="1" x14ac:dyDescent="0.25">
      <c r="A3607" t="s">
        <v>654</v>
      </c>
      <c r="B3607" t="s">
        <v>94</v>
      </c>
      <c r="E3607" s="3">
        <f>HYPERLINK("https://sao.dolgi.msk.ru/account/1404240849/", 1404240849)</f>
        <v>1404240849</v>
      </c>
      <c r="F3607">
        <v>-860.49</v>
      </c>
    </row>
    <row r="3608" spans="1:6" hidden="1" x14ac:dyDescent="0.25">
      <c r="A3608" t="s">
        <v>654</v>
      </c>
      <c r="B3608" t="s">
        <v>95</v>
      </c>
      <c r="E3608" s="3">
        <f>HYPERLINK("https://sao.dolgi.msk.ru/account/1404242609/", 1404242609)</f>
        <v>1404242609</v>
      </c>
      <c r="F3608">
        <v>-1586.1</v>
      </c>
    </row>
    <row r="3609" spans="1:6" x14ac:dyDescent="0.25">
      <c r="A3609" t="s">
        <v>654</v>
      </c>
      <c r="B3609" t="s">
        <v>96</v>
      </c>
      <c r="C3609" s="5" t="str">
        <f>" кв. "&amp;B3609</f>
        <v xml:space="preserve"> кв. 92</v>
      </c>
      <c r="D3609" s="5" t="str">
        <f>CONCATENATE(A3609,C3609)</f>
        <v>Беломорская ул., дом 26 кв. 92</v>
      </c>
      <c r="E3609" s="3">
        <f>HYPERLINK("https://sao.dolgi.msk.ru/account/1404242959/", 1404242959)</f>
        <v>1404242959</v>
      </c>
      <c r="F3609">
        <v>2220.6999999999998</v>
      </c>
    </row>
    <row r="3610" spans="1:6" hidden="1" x14ac:dyDescent="0.25">
      <c r="A3610" t="s">
        <v>654</v>
      </c>
      <c r="B3610" t="s">
        <v>97</v>
      </c>
      <c r="E3610" s="3">
        <f>HYPERLINK("https://sao.dolgi.msk.ru/account/1404241622/", 1404241622)</f>
        <v>1404241622</v>
      </c>
      <c r="F3610">
        <v>-3119.9</v>
      </c>
    </row>
    <row r="3611" spans="1:6" hidden="1" x14ac:dyDescent="0.25">
      <c r="A3611" t="s">
        <v>654</v>
      </c>
      <c r="B3611" t="s">
        <v>98</v>
      </c>
      <c r="E3611" s="3">
        <f>HYPERLINK("https://sao.dolgi.msk.ru/account/1404241235/", 1404241235)</f>
        <v>1404241235</v>
      </c>
      <c r="F3611">
        <v>-1779.5</v>
      </c>
    </row>
    <row r="3612" spans="1:6" hidden="1" x14ac:dyDescent="0.25">
      <c r="A3612" t="s">
        <v>654</v>
      </c>
      <c r="B3612" t="s">
        <v>99</v>
      </c>
      <c r="E3612" s="3">
        <f>HYPERLINK("https://sao.dolgi.msk.ru/account/1404240857/", 1404240857)</f>
        <v>1404240857</v>
      </c>
      <c r="F3612">
        <v>-3672.24</v>
      </c>
    </row>
    <row r="3613" spans="1:6" hidden="1" x14ac:dyDescent="0.25">
      <c r="A3613" t="s">
        <v>654</v>
      </c>
      <c r="B3613" t="s">
        <v>100</v>
      </c>
      <c r="E3613" s="3">
        <f>HYPERLINK("https://sao.dolgi.msk.ru/account/1404240865/", 1404240865)</f>
        <v>1404240865</v>
      </c>
      <c r="F3613">
        <v>-3096.79</v>
      </c>
    </row>
    <row r="3614" spans="1:6" hidden="1" x14ac:dyDescent="0.25">
      <c r="A3614" t="s">
        <v>654</v>
      </c>
      <c r="B3614" t="s">
        <v>101</v>
      </c>
      <c r="E3614" s="3">
        <f>HYPERLINK("https://sao.dolgi.msk.ru/account/1404240873/", 1404240873)</f>
        <v>1404240873</v>
      </c>
      <c r="F3614">
        <v>0</v>
      </c>
    </row>
    <row r="3615" spans="1:6" hidden="1" x14ac:dyDescent="0.25">
      <c r="A3615" t="s">
        <v>654</v>
      </c>
      <c r="B3615" t="s">
        <v>102</v>
      </c>
      <c r="E3615" s="3">
        <f>HYPERLINK("https://sao.dolgi.msk.ru/account/1404242617/", 1404242617)</f>
        <v>1404242617</v>
      </c>
      <c r="F3615">
        <v>-1784.12</v>
      </c>
    </row>
    <row r="3616" spans="1:6" hidden="1" x14ac:dyDescent="0.25">
      <c r="A3616" t="s">
        <v>654</v>
      </c>
      <c r="B3616" t="s">
        <v>103</v>
      </c>
      <c r="E3616" s="3">
        <f>HYPERLINK("https://sao.dolgi.msk.ru/account/1404241649/", 1404241649)</f>
        <v>1404241649</v>
      </c>
      <c r="F3616">
        <v>0</v>
      </c>
    </row>
    <row r="3617" spans="1:6" hidden="1" x14ac:dyDescent="0.25">
      <c r="A3617" t="s">
        <v>654</v>
      </c>
      <c r="B3617" t="s">
        <v>104</v>
      </c>
      <c r="E3617" s="3">
        <f>HYPERLINK("https://sao.dolgi.msk.ru/account/1404242799/", 1404242799)</f>
        <v>1404242799</v>
      </c>
      <c r="F3617">
        <v>-3864.05</v>
      </c>
    </row>
    <row r="3618" spans="1:6" x14ac:dyDescent="0.25">
      <c r="A3618" t="s">
        <v>654</v>
      </c>
      <c r="B3618" t="s">
        <v>105</v>
      </c>
      <c r="C3618" s="5" t="str">
        <f t="shared" ref="C3618:C3620" si="162">" кв. "&amp;B3618</f>
        <v xml:space="preserve"> кв. 101</v>
      </c>
      <c r="D3618" s="5" t="str">
        <f>CONCATENATE(A3618,C3618)</f>
        <v>Беломорская ул., дом 26 кв. 101</v>
      </c>
      <c r="E3618" s="3">
        <f>HYPERLINK("https://sao.dolgi.msk.ru/account/1404242801/", 1404242801)</f>
        <v>1404242801</v>
      </c>
      <c r="F3618">
        <v>2330.34</v>
      </c>
    </row>
    <row r="3619" spans="1:6" x14ac:dyDescent="0.25">
      <c r="A3619" t="s">
        <v>654</v>
      </c>
      <c r="B3619" t="s">
        <v>106</v>
      </c>
      <c r="C3619" s="5" t="str">
        <f t="shared" si="162"/>
        <v xml:space="preserve"> кв. 102</v>
      </c>
      <c r="D3619" s="5" t="str">
        <f>CONCATENATE(A3619,C3619)</f>
        <v>Беломорская ул., дом 26 кв. 102</v>
      </c>
      <c r="E3619" s="3">
        <f>HYPERLINK("https://sao.dolgi.msk.ru/account/1404242051/", 1404242051)</f>
        <v>1404242051</v>
      </c>
      <c r="F3619">
        <v>1224.08</v>
      </c>
    </row>
    <row r="3620" spans="1:6" x14ac:dyDescent="0.25">
      <c r="A3620" t="s">
        <v>654</v>
      </c>
      <c r="B3620" t="s">
        <v>107</v>
      </c>
      <c r="C3620" s="5" t="str">
        <f t="shared" si="162"/>
        <v xml:space="preserve"> кв. 103</v>
      </c>
      <c r="D3620" s="5" t="str">
        <f>CONCATENATE(A3620,C3620)</f>
        <v>Беломорская ул., дом 26 кв. 103</v>
      </c>
      <c r="E3620" s="3">
        <f>HYPERLINK("https://sao.dolgi.msk.ru/account/1404241729/", 1404241729)</f>
        <v>1404241729</v>
      </c>
      <c r="F3620">
        <v>1220.92</v>
      </c>
    </row>
    <row r="3621" spans="1:6" hidden="1" x14ac:dyDescent="0.25">
      <c r="A3621" t="s">
        <v>654</v>
      </c>
      <c r="B3621" t="s">
        <v>108</v>
      </c>
      <c r="E3621" s="3">
        <f>HYPERLINK("https://sao.dolgi.msk.ru/account/1404241331/", 1404241331)</f>
        <v>1404241331</v>
      </c>
      <c r="F3621">
        <v>0</v>
      </c>
    </row>
    <row r="3622" spans="1:6" hidden="1" x14ac:dyDescent="0.25">
      <c r="A3622" t="s">
        <v>654</v>
      </c>
      <c r="B3622" t="s">
        <v>109</v>
      </c>
      <c r="E3622" s="3">
        <f>HYPERLINK("https://sao.dolgi.msk.ru/account/1404242721/", 1404242721)</f>
        <v>1404242721</v>
      </c>
      <c r="F3622">
        <v>-3281.67</v>
      </c>
    </row>
    <row r="3623" spans="1:6" hidden="1" x14ac:dyDescent="0.25">
      <c r="A3623" t="s">
        <v>654</v>
      </c>
      <c r="B3623" t="s">
        <v>110</v>
      </c>
      <c r="E3623" s="3">
        <f>HYPERLINK("https://sao.dolgi.msk.ru/account/1404241016/", 1404241016)</f>
        <v>1404241016</v>
      </c>
      <c r="F3623">
        <v>-1568.94</v>
      </c>
    </row>
    <row r="3624" spans="1:6" hidden="1" x14ac:dyDescent="0.25">
      <c r="A3624" t="s">
        <v>654</v>
      </c>
      <c r="B3624" t="s">
        <v>111</v>
      </c>
      <c r="E3624" s="3">
        <f>HYPERLINK("https://sao.dolgi.msk.ru/account/1404241358/", 1404241358)</f>
        <v>1404241358</v>
      </c>
      <c r="F3624">
        <v>0</v>
      </c>
    </row>
    <row r="3625" spans="1:6" hidden="1" x14ac:dyDescent="0.25">
      <c r="A3625" t="s">
        <v>654</v>
      </c>
      <c r="B3625" t="s">
        <v>111</v>
      </c>
      <c r="E3625" s="3">
        <f>HYPERLINK("https://sao.dolgi.msk.ru/account/1404242713/", 1404242713)</f>
        <v>1404242713</v>
      </c>
      <c r="F3625">
        <v>0</v>
      </c>
    </row>
    <row r="3626" spans="1:6" hidden="1" x14ac:dyDescent="0.25">
      <c r="A3626" t="s">
        <v>654</v>
      </c>
      <c r="B3626" t="s">
        <v>112</v>
      </c>
      <c r="E3626" s="3">
        <f>HYPERLINK("https://sao.dolgi.msk.ru/account/1404241737/", 1404241737)</f>
        <v>1404241737</v>
      </c>
      <c r="F3626">
        <v>0</v>
      </c>
    </row>
    <row r="3627" spans="1:6" hidden="1" x14ac:dyDescent="0.25">
      <c r="A3627" t="s">
        <v>654</v>
      </c>
      <c r="B3627" t="s">
        <v>113</v>
      </c>
      <c r="E3627" s="3">
        <f>HYPERLINK("https://sao.dolgi.msk.ru/account/1404242369/", 1404242369)</f>
        <v>1404242369</v>
      </c>
      <c r="F3627">
        <v>-2863.37</v>
      </c>
    </row>
    <row r="3628" spans="1:6" hidden="1" x14ac:dyDescent="0.25">
      <c r="A3628" t="s">
        <v>654</v>
      </c>
      <c r="B3628" t="s">
        <v>114</v>
      </c>
      <c r="E3628" s="3">
        <f>HYPERLINK("https://sao.dolgi.msk.ru/account/1404242078/", 1404242078)</f>
        <v>1404242078</v>
      </c>
      <c r="F3628">
        <v>-2004.65</v>
      </c>
    </row>
    <row r="3629" spans="1:6" hidden="1" x14ac:dyDescent="0.25">
      <c r="A3629" t="s">
        <v>654</v>
      </c>
      <c r="B3629" t="s">
        <v>115</v>
      </c>
      <c r="E3629" s="3">
        <f>HYPERLINK("https://sao.dolgi.msk.ru/account/1404243089/", 1404243089)</f>
        <v>1404243089</v>
      </c>
      <c r="F3629">
        <v>-2145.1799999999998</v>
      </c>
    </row>
    <row r="3630" spans="1:6" hidden="1" x14ac:dyDescent="0.25">
      <c r="A3630" t="s">
        <v>654</v>
      </c>
      <c r="B3630" t="s">
        <v>116</v>
      </c>
      <c r="E3630" s="3">
        <f>HYPERLINK("https://sao.dolgi.msk.ru/account/1404243249/", 1404243249)</f>
        <v>1404243249</v>
      </c>
      <c r="F3630">
        <v>-3013.19</v>
      </c>
    </row>
    <row r="3631" spans="1:6" hidden="1" x14ac:dyDescent="0.25">
      <c r="A3631" t="s">
        <v>654</v>
      </c>
      <c r="B3631" t="s">
        <v>117</v>
      </c>
      <c r="E3631" s="3">
        <f>HYPERLINK("https://sao.dolgi.msk.ru/account/1404241534/", 1404241534)</f>
        <v>1404241534</v>
      </c>
      <c r="F3631">
        <v>-3277.05</v>
      </c>
    </row>
    <row r="3632" spans="1:6" hidden="1" x14ac:dyDescent="0.25">
      <c r="A3632" t="s">
        <v>654</v>
      </c>
      <c r="B3632" t="s">
        <v>118</v>
      </c>
      <c r="E3632" s="3">
        <f>HYPERLINK("https://sao.dolgi.msk.ru/account/1404240742/", 1404240742)</f>
        <v>1404240742</v>
      </c>
      <c r="F3632">
        <v>-2394.23</v>
      </c>
    </row>
    <row r="3633" spans="1:6" hidden="1" x14ac:dyDescent="0.25">
      <c r="A3633" t="s">
        <v>654</v>
      </c>
      <c r="B3633" t="s">
        <v>119</v>
      </c>
      <c r="E3633" s="3">
        <f>HYPERLINK("https://sao.dolgi.msk.ru/account/1404242844/", 1404242844)</f>
        <v>1404242844</v>
      </c>
      <c r="F3633">
        <v>-1482.75</v>
      </c>
    </row>
    <row r="3634" spans="1:6" hidden="1" x14ac:dyDescent="0.25">
      <c r="A3634" t="s">
        <v>654</v>
      </c>
      <c r="B3634" t="s">
        <v>120</v>
      </c>
      <c r="E3634" s="3">
        <f>HYPERLINK("https://sao.dolgi.msk.ru/account/1404243257/", 1404243257)</f>
        <v>1404243257</v>
      </c>
      <c r="F3634">
        <v>-2994.7</v>
      </c>
    </row>
    <row r="3635" spans="1:6" hidden="1" x14ac:dyDescent="0.25">
      <c r="A3635" t="s">
        <v>654</v>
      </c>
      <c r="B3635" t="s">
        <v>121</v>
      </c>
      <c r="E3635" s="3">
        <f>HYPERLINK("https://sao.dolgi.msk.ru/account/1404243265/", 1404243265)</f>
        <v>1404243265</v>
      </c>
      <c r="F3635">
        <v>0</v>
      </c>
    </row>
    <row r="3636" spans="1:6" hidden="1" x14ac:dyDescent="0.25">
      <c r="A3636" t="s">
        <v>654</v>
      </c>
      <c r="B3636" t="s">
        <v>122</v>
      </c>
      <c r="E3636" s="3">
        <f>HYPERLINK("https://sao.dolgi.msk.ru/account/1404241112/", 1404241112)</f>
        <v>1404241112</v>
      </c>
      <c r="F3636">
        <v>-1609.84</v>
      </c>
    </row>
    <row r="3637" spans="1:6" hidden="1" x14ac:dyDescent="0.25">
      <c r="A3637" t="s">
        <v>654</v>
      </c>
      <c r="B3637" t="s">
        <v>123</v>
      </c>
      <c r="E3637" s="3">
        <f>HYPERLINK("https://sao.dolgi.msk.ru/account/1404240769/", 1404240769)</f>
        <v>1404240769</v>
      </c>
      <c r="F3637">
        <v>0</v>
      </c>
    </row>
    <row r="3638" spans="1:6" hidden="1" x14ac:dyDescent="0.25">
      <c r="A3638" t="s">
        <v>654</v>
      </c>
      <c r="B3638" t="s">
        <v>124</v>
      </c>
      <c r="E3638" s="3">
        <f>HYPERLINK("https://sao.dolgi.msk.ru/account/1404240777/", 1404240777)</f>
        <v>1404240777</v>
      </c>
      <c r="F3638">
        <v>-3074.93</v>
      </c>
    </row>
    <row r="3639" spans="1:6" hidden="1" x14ac:dyDescent="0.25">
      <c r="A3639" t="s">
        <v>654</v>
      </c>
      <c r="B3639" t="s">
        <v>125</v>
      </c>
      <c r="E3639" s="3">
        <f>HYPERLINK("https://sao.dolgi.msk.ru/account/1404241542/", 1404241542)</f>
        <v>1404241542</v>
      </c>
      <c r="F3639">
        <v>-2179.23</v>
      </c>
    </row>
    <row r="3640" spans="1:6" hidden="1" x14ac:dyDescent="0.25">
      <c r="A3640" t="s">
        <v>654</v>
      </c>
      <c r="B3640" t="s">
        <v>126</v>
      </c>
      <c r="E3640" s="3">
        <f>HYPERLINK("https://sao.dolgi.msk.ru/account/1404241884/", 1404241884)</f>
        <v>1404241884</v>
      </c>
      <c r="F3640">
        <v>-2394.23</v>
      </c>
    </row>
    <row r="3641" spans="1:6" hidden="1" x14ac:dyDescent="0.25">
      <c r="A3641" t="s">
        <v>654</v>
      </c>
      <c r="B3641" t="s">
        <v>127</v>
      </c>
      <c r="E3641" s="3">
        <f>HYPERLINK("https://sao.dolgi.msk.ru/account/1404241892/", 1404241892)</f>
        <v>1404241892</v>
      </c>
      <c r="F3641">
        <v>0</v>
      </c>
    </row>
    <row r="3642" spans="1:6" hidden="1" x14ac:dyDescent="0.25">
      <c r="A3642" t="s">
        <v>654</v>
      </c>
      <c r="B3642" t="s">
        <v>128</v>
      </c>
      <c r="E3642" s="3">
        <f>HYPERLINK("https://sao.dolgi.msk.ru/account/1404241948/", 1404241948)</f>
        <v>1404241948</v>
      </c>
      <c r="F3642">
        <v>-808.86</v>
      </c>
    </row>
    <row r="3643" spans="1:6" hidden="1" x14ac:dyDescent="0.25">
      <c r="A3643" t="s">
        <v>654</v>
      </c>
      <c r="B3643" t="s">
        <v>128</v>
      </c>
      <c r="E3643" s="3">
        <f>HYPERLINK("https://sao.dolgi.msk.ru/account/1404242852/", 1404242852)</f>
        <v>1404242852</v>
      </c>
      <c r="F3643">
        <v>-1617.73</v>
      </c>
    </row>
    <row r="3644" spans="1:6" hidden="1" x14ac:dyDescent="0.25">
      <c r="A3644" t="s">
        <v>654</v>
      </c>
      <c r="B3644" t="s">
        <v>129</v>
      </c>
      <c r="E3644" s="3">
        <f>HYPERLINK("https://sao.dolgi.msk.ru/account/1404242537/", 1404242537)</f>
        <v>1404242537</v>
      </c>
      <c r="F3644">
        <v>-1737.89</v>
      </c>
    </row>
    <row r="3645" spans="1:6" x14ac:dyDescent="0.25">
      <c r="A3645" t="s">
        <v>654</v>
      </c>
      <c r="B3645" t="s">
        <v>130</v>
      </c>
      <c r="C3645" s="5" t="str">
        <f t="shared" ref="C3645:C3646" si="163">" кв. "&amp;B3645</f>
        <v xml:space="preserve"> кв. 126</v>
      </c>
      <c r="D3645" s="5" t="str">
        <f>CONCATENATE(A3645,C3645)</f>
        <v>Беломорская ул., дом 26 кв. 126</v>
      </c>
      <c r="E3645" s="3">
        <f>HYPERLINK("https://sao.dolgi.msk.ru/account/1404242879/", 1404242879)</f>
        <v>1404242879</v>
      </c>
      <c r="F3645">
        <v>977.37</v>
      </c>
    </row>
    <row r="3646" spans="1:6" x14ac:dyDescent="0.25">
      <c r="A3646" t="s">
        <v>654</v>
      </c>
      <c r="B3646" t="s">
        <v>131</v>
      </c>
      <c r="C3646" s="5" t="str">
        <f t="shared" si="163"/>
        <v xml:space="preserve"> кв. 127</v>
      </c>
      <c r="D3646" s="5" t="str">
        <f>CONCATENATE(A3646,C3646)</f>
        <v>Беломорская ул., дом 26 кв. 127</v>
      </c>
      <c r="E3646" s="3">
        <f>HYPERLINK("https://sao.dolgi.msk.ru/account/1404241139/", 1404241139)</f>
        <v>1404241139</v>
      </c>
      <c r="F3646">
        <v>1622.62</v>
      </c>
    </row>
    <row r="3647" spans="1:6" hidden="1" x14ac:dyDescent="0.25">
      <c r="A3647" t="s">
        <v>654</v>
      </c>
      <c r="B3647" t="s">
        <v>132</v>
      </c>
      <c r="E3647" s="3">
        <f>HYPERLINK("https://sao.dolgi.msk.ru/account/1404242545/", 1404242545)</f>
        <v>1404242545</v>
      </c>
      <c r="F3647">
        <v>-3249.31</v>
      </c>
    </row>
    <row r="3648" spans="1:6" hidden="1" x14ac:dyDescent="0.25">
      <c r="A3648" t="s">
        <v>654</v>
      </c>
      <c r="B3648" t="s">
        <v>133</v>
      </c>
      <c r="E3648" s="3">
        <f>HYPERLINK("https://sao.dolgi.msk.ru/account/1404240785/", 1404240785)</f>
        <v>1404240785</v>
      </c>
      <c r="F3648">
        <v>-2126.69</v>
      </c>
    </row>
    <row r="3649" spans="1:6" hidden="1" x14ac:dyDescent="0.25">
      <c r="A3649" t="s">
        <v>654</v>
      </c>
      <c r="B3649" t="s">
        <v>134</v>
      </c>
      <c r="E3649" s="3">
        <f>HYPERLINK("https://sao.dolgi.msk.ru/account/1404242887/", 1404242887)</f>
        <v>1404242887</v>
      </c>
      <c r="F3649">
        <v>-1590.21</v>
      </c>
    </row>
    <row r="3650" spans="1:6" hidden="1" x14ac:dyDescent="0.25">
      <c r="A3650" t="s">
        <v>654</v>
      </c>
      <c r="B3650" t="s">
        <v>135</v>
      </c>
      <c r="E3650" s="3">
        <f>HYPERLINK("https://sao.dolgi.msk.ru/account/1404243273/", 1404243273)</f>
        <v>1404243273</v>
      </c>
      <c r="F3650">
        <v>-860.49</v>
      </c>
    </row>
    <row r="3651" spans="1:6" hidden="1" x14ac:dyDescent="0.25">
      <c r="A3651" t="s">
        <v>654</v>
      </c>
      <c r="B3651" t="s">
        <v>136</v>
      </c>
      <c r="E3651" s="3">
        <f>HYPERLINK("https://sao.dolgi.msk.ru/account/1404240793/", 1404240793)</f>
        <v>1404240793</v>
      </c>
      <c r="F3651">
        <v>-588.17999999999995</v>
      </c>
    </row>
    <row r="3652" spans="1:6" hidden="1" x14ac:dyDescent="0.25">
      <c r="A3652" t="s">
        <v>654</v>
      </c>
      <c r="B3652" t="s">
        <v>136</v>
      </c>
      <c r="E3652" s="3">
        <f>HYPERLINK("https://sao.dolgi.msk.ru/account/1404241147/", 1404241147)</f>
        <v>1404241147</v>
      </c>
      <c r="F3652">
        <v>-588.17999999999995</v>
      </c>
    </row>
    <row r="3653" spans="1:6" hidden="1" x14ac:dyDescent="0.25">
      <c r="A3653" t="s">
        <v>654</v>
      </c>
      <c r="B3653" t="s">
        <v>136</v>
      </c>
      <c r="E3653" s="3">
        <f>HYPERLINK("https://sao.dolgi.msk.ru/account/1404242705/", 1404242705)</f>
        <v>1404242705</v>
      </c>
      <c r="F3653">
        <v>-1878.08</v>
      </c>
    </row>
    <row r="3654" spans="1:6" hidden="1" x14ac:dyDescent="0.25">
      <c r="A3654" t="s">
        <v>654</v>
      </c>
      <c r="B3654" t="s">
        <v>137</v>
      </c>
      <c r="E3654" s="3">
        <f>HYPERLINK("https://sao.dolgi.msk.ru/account/1404241155/", 1404241155)</f>
        <v>1404241155</v>
      </c>
      <c r="F3654">
        <v>-3368.91</v>
      </c>
    </row>
    <row r="3655" spans="1:6" hidden="1" x14ac:dyDescent="0.25">
      <c r="A3655" t="s">
        <v>654</v>
      </c>
      <c r="B3655" t="s">
        <v>138</v>
      </c>
      <c r="E3655" s="3">
        <f>HYPERLINK("https://sao.dolgi.msk.ru/account/1404242203/", 1404242203)</f>
        <v>1404242203</v>
      </c>
      <c r="F3655">
        <v>-1802.61</v>
      </c>
    </row>
    <row r="3656" spans="1:6" x14ac:dyDescent="0.25">
      <c r="A3656" t="s">
        <v>654</v>
      </c>
      <c r="B3656" t="s">
        <v>139</v>
      </c>
      <c r="C3656" s="5" t="str">
        <f>" кв. "&amp;B3656</f>
        <v xml:space="preserve"> кв. 135</v>
      </c>
      <c r="D3656" s="5" t="str">
        <f>CONCATENATE(A3656,C3656)</f>
        <v>Беломорская ул., дом 26 кв. 135</v>
      </c>
      <c r="E3656" s="3">
        <f>HYPERLINK("https://sao.dolgi.msk.ru/account/1404241569/", 1404241569)</f>
        <v>1404241569</v>
      </c>
      <c r="F3656">
        <v>1217.76</v>
      </c>
    </row>
    <row r="3657" spans="1:6" hidden="1" x14ac:dyDescent="0.25">
      <c r="A3657" t="s">
        <v>654</v>
      </c>
      <c r="B3657" t="s">
        <v>140</v>
      </c>
      <c r="E3657" s="3">
        <f>HYPERLINK("https://sao.dolgi.msk.ru/account/1404241577/", 1404241577)</f>
        <v>1404241577</v>
      </c>
      <c r="F3657">
        <v>-2404.04</v>
      </c>
    </row>
    <row r="3658" spans="1:6" hidden="1" x14ac:dyDescent="0.25">
      <c r="A3658" t="s">
        <v>654</v>
      </c>
      <c r="B3658" t="s">
        <v>141</v>
      </c>
      <c r="E3658" s="3">
        <f>HYPERLINK("https://sao.dolgi.msk.ru/account/1404243281/", 1404243281)</f>
        <v>1404243281</v>
      </c>
      <c r="F3658">
        <v>-3864.05</v>
      </c>
    </row>
    <row r="3659" spans="1:6" hidden="1" x14ac:dyDescent="0.25">
      <c r="A3659" t="s">
        <v>654</v>
      </c>
      <c r="B3659" t="s">
        <v>142</v>
      </c>
      <c r="E3659" s="3">
        <f>HYPERLINK("https://sao.dolgi.msk.ru/account/1404241163/", 1404241163)</f>
        <v>1404241163</v>
      </c>
      <c r="F3659">
        <v>-1788.74</v>
      </c>
    </row>
    <row r="3660" spans="1:6" hidden="1" x14ac:dyDescent="0.25">
      <c r="A3660" t="s">
        <v>654</v>
      </c>
      <c r="B3660" t="s">
        <v>143</v>
      </c>
      <c r="E3660" s="3">
        <f>HYPERLINK("https://sao.dolgi.msk.ru/account/1404243302/", 1404243302)</f>
        <v>1404243302</v>
      </c>
      <c r="F3660">
        <v>-1643.32</v>
      </c>
    </row>
    <row r="3661" spans="1:6" hidden="1" x14ac:dyDescent="0.25">
      <c r="A3661" t="s">
        <v>654</v>
      </c>
      <c r="B3661" t="s">
        <v>144</v>
      </c>
      <c r="E3661" s="3">
        <f>HYPERLINK("https://sao.dolgi.msk.ru/account/1404242553/", 1404242553)</f>
        <v>1404242553</v>
      </c>
      <c r="F3661">
        <v>-3864.05</v>
      </c>
    </row>
    <row r="3662" spans="1:6" x14ac:dyDescent="0.25">
      <c r="A3662" t="s">
        <v>654</v>
      </c>
      <c r="B3662" t="s">
        <v>145</v>
      </c>
      <c r="C3662" s="5" t="str">
        <f>" кв. "&amp;B3662</f>
        <v xml:space="preserve"> кв. 141</v>
      </c>
      <c r="D3662" s="5" t="str">
        <f>CONCATENATE(A3662,C3662)</f>
        <v>Беломорская ул., дом 26 кв. 141</v>
      </c>
      <c r="E3662" s="3">
        <f>HYPERLINK("https://sao.dolgi.msk.ru/account/1404241905/", 1404241905)</f>
        <v>1404241905</v>
      </c>
      <c r="F3662">
        <v>1496.1</v>
      </c>
    </row>
    <row r="3663" spans="1:6" hidden="1" x14ac:dyDescent="0.25">
      <c r="A3663" t="s">
        <v>654</v>
      </c>
      <c r="B3663" t="s">
        <v>146</v>
      </c>
      <c r="E3663" s="3">
        <f>HYPERLINK("https://sao.dolgi.msk.ru/account/1404241198/", 1404241198)</f>
        <v>1404241198</v>
      </c>
      <c r="F3663">
        <v>-560.28</v>
      </c>
    </row>
    <row r="3664" spans="1:6" x14ac:dyDescent="0.25">
      <c r="A3664" t="s">
        <v>654</v>
      </c>
      <c r="B3664" t="s">
        <v>147</v>
      </c>
      <c r="C3664" s="5" t="str">
        <f t="shared" ref="C3664:C3665" si="164">" кв. "&amp;B3664</f>
        <v xml:space="preserve"> кв. 143</v>
      </c>
      <c r="D3664" s="5" t="str">
        <f>CONCATENATE(A3664,C3664)</f>
        <v>Беломорская ул., дом 26 кв. 143</v>
      </c>
      <c r="E3664" s="3">
        <f>HYPERLINK("https://sao.dolgi.msk.ru/account/1404242561/", 1404242561)</f>
        <v>1404242561</v>
      </c>
      <c r="F3664">
        <v>1217.76</v>
      </c>
    </row>
    <row r="3665" spans="1:6" x14ac:dyDescent="0.25">
      <c r="A3665" t="s">
        <v>654</v>
      </c>
      <c r="B3665" t="s">
        <v>148</v>
      </c>
      <c r="C3665" s="5" t="str">
        <f t="shared" si="164"/>
        <v xml:space="preserve"> кв. 144</v>
      </c>
      <c r="D3665" s="5" t="str">
        <f>CONCATENATE(A3665,C3665)</f>
        <v>Беломорская ул., дом 26 кв. 144</v>
      </c>
      <c r="E3665" s="3">
        <f>HYPERLINK("https://sao.dolgi.msk.ru/account/1404241585/", 1404241585)</f>
        <v>1404241585</v>
      </c>
      <c r="F3665">
        <v>2644.27</v>
      </c>
    </row>
    <row r="3666" spans="1:6" hidden="1" x14ac:dyDescent="0.25">
      <c r="A3666" t="s">
        <v>654</v>
      </c>
      <c r="B3666" t="s">
        <v>149</v>
      </c>
      <c r="E3666" s="3">
        <f>HYPERLINK("https://sao.dolgi.msk.ru/account/1404240806/", 1404240806)</f>
        <v>1404240806</v>
      </c>
      <c r="F3666">
        <v>-2226.2199999999998</v>
      </c>
    </row>
    <row r="3667" spans="1:6" x14ac:dyDescent="0.25">
      <c r="A3667" t="s">
        <v>654</v>
      </c>
      <c r="B3667" t="s">
        <v>150</v>
      </c>
      <c r="C3667" s="5" t="str">
        <f t="shared" ref="C3667:C3669" si="165">" кв. "&amp;B3667</f>
        <v xml:space="preserve"> кв. 146</v>
      </c>
      <c r="D3667" s="5" t="str">
        <f>CONCATENATE(A3667,C3667)</f>
        <v>Беломорская ул., дом 26 кв. 146</v>
      </c>
      <c r="E3667" s="3">
        <f>HYPERLINK("https://sao.dolgi.msk.ru/account/1404241913/", 1404241913)</f>
        <v>1404241913</v>
      </c>
      <c r="F3667">
        <v>1295.02</v>
      </c>
    </row>
    <row r="3668" spans="1:6" x14ac:dyDescent="0.25">
      <c r="A3668" t="s">
        <v>654</v>
      </c>
      <c r="B3668" t="s">
        <v>151</v>
      </c>
      <c r="C3668" s="5" t="str">
        <f t="shared" si="165"/>
        <v xml:space="preserve"> кв. 147</v>
      </c>
      <c r="D3668" s="5" t="str">
        <f>CONCATENATE(A3668,C3668)</f>
        <v>Беломорская ул., дом 26 кв. 147</v>
      </c>
      <c r="E3668" s="3">
        <f>HYPERLINK("https://sao.dolgi.msk.ru/account/1404242895/", 1404242895)</f>
        <v>1404242895</v>
      </c>
      <c r="F3668">
        <v>1628.95</v>
      </c>
    </row>
    <row r="3669" spans="1:6" x14ac:dyDescent="0.25">
      <c r="A3669" t="s">
        <v>654</v>
      </c>
      <c r="B3669" t="s">
        <v>152</v>
      </c>
      <c r="C3669" s="5" t="str">
        <f t="shared" si="165"/>
        <v xml:space="preserve"> кв. 148</v>
      </c>
      <c r="D3669" s="5" t="str">
        <f>CONCATENATE(A3669,C3669)</f>
        <v>Беломорская ул., дом 26 кв. 148</v>
      </c>
      <c r="E3669" s="3">
        <f>HYPERLINK("https://sao.dolgi.msk.ru/account/1404242211/", 1404242211)</f>
        <v>1404242211</v>
      </c>
      <c r="F3669">
        <v>1382.23</v>
      </c>
    </row>
    <row r="3670" spans="1:6" hidden="1" x14ac:dyDescent="0.25">
      <c r="A3670" t="s">
        <v>654</v>
      </c>
      <c r="B3670" t="s">
        <v>153</v>
      </c>
      <c r="E3670" s="3">
        <f>HYPERLINK("https://sao.dolgi.msk.ru/account/1404242238/", 1404242238)</f>
        <v>1404242238</v>
      </c>
      <c r="F3670">
        <v>-3022.44</v>
      </c>
    </row>
    <row r="3671" spans="1:6" x14ac:dyDescent="0.25">
      <c r="A3671" t="s">
        <v>654</v>
      </c>
      <c r="B3671" t="s">
        <v>154</v>
      </c>
      <c r="C3671" s="5" t="str">
        <f>" кв. "&amp;B3671</f>
        <v xml:space="preserve"> кв. 150</v>
      </c>
      <c r="D3671" s="5" t="str">
        <f>CONCATENATE(A3671,C3671)</f>
        <v>Беломорская ул., дом 26 кв. 150</v>
      </c>
      <c r="E3671" s="3">
        <f>HYPERLINK("https://sao.dolgi.msk.ru/account/1404241219/", 1404241219)</f>
        <v>1404241219</v>
      </c>
      <c r="F3671">
        <v>1638.43</v>
      </c>
    </row>
    <row r="3672" spans="1:6" hidden="1" x14ac:dyDescent="0.25">
      <c r="A3672" t="s">
        <v>654</v>
      </c>
      <c r="B3672" t="s">
        <v>155</v>
      </c>
      <c r="E3672" s="3">
        <f>HYPERLINK("https://sao.dolgi.msk.ru/account/1404242588/", 1404242588)</f>
        <v>1404242588</v>
      </c>
      <c r="F3672">
        <v>-2394.23</v>
      </c>
    </row>
    <row r="3673" spans="1:6" hidden="1" x14ac:dyDescent="0.25">
      <c r="A3673" t="s">
        <v>654</v>
      </c>
      <c r="B3673" t="s">
        <v>156</v>
      </c>
      <c r="E3673" s="3">
        <f>HYPERLINK("https://sao.dolgi.msk.ru/account/1404241593/", 1404241593)</f>
        <v>1404241593</v>
      </c>
      <c r="F3673">
        <v>-1668.18</v>
      </c>
    </row>
    <row r="3674" spans="1:6" hidden="1" x14ac:dyDescent="0.25">
      <c r="A3674" t="s">
        <v>654</v>
      </c>
      <c r="B3674" t="s">
        <v>157</v>
      </c>
      <c r="E3674" s="3">
        <f>HYPERLINK("https://sao.dolgi.msk.ru/account/1404243329/", 1404243329)</f>
        <v>1404243329</v>
      </c>
      <c r="F3674">
        <v>-2744.24</v>
      </c>
    </row>
    <row r="3675" spans="1:6" hidden="1" x14ac:dyDescent="0.25">
      <c r="A3675" t="s">
        <v>654</v>
      </c>
      <c r="B3675" t="s">
        <v>158</v>
      </c>
      <c r="E3675" s="3">
        <f>HYPERLINK("https://sao.dolgi.msk.ru/account/1404241227/", 1404241227)</f>
        <v>1404241227</v>
      </c>
      <c r="F3675">
        <v>-1478.86</v>
      </c>
    </row>
    <row r="3676" spans="1:6" hidden="1" x14ac:dyDescent="0.25">
      <c r="A3676" t="s">
        <v>654</v>
      </c>
      <c r="B3676" t="s">
        <v>159</v>
      </c>
      <c r="E3676" s="3">
        <f>HYPERLINK("https://sao.dolgi.msk.ru/account/1404241606/", 1404241606)</f>
        <v>1404241606</v>
      </c>
      <c r="F3676">
        <v>-2380.37</v>
      </c>
    </row>
    <row r="3677" spans="1:6" hidden="1" x14ac:dyDescent="0.25">
      <c r="A3677" t="s">
        <v>654</v>
      </c>
      <c r="B3677" t="s">
        <v>160</v>
      </c>
      <c r="E3677" s="3">
        <f>HYPERLINK("https://sao.dolgi.msk.ru/account/1404242596/", 1404242596)</f>
        <v>1404242596</v>
      </c>
      <c r="F3677">
        <v>-3132.96</v>
      </c>
    </row>
    <row r="3678" spans="1:6" hidden="1" x14ac:dyDescent="0.25">
      <c r="A3678" t="s">
        <v>654</v>
      </c>
      <c r="B3678" t="s">
        <v>161</v>
      </c>
      <c r="E3678" s="3">
        <f>HYPERLINK("https://sao.dolgi.msk.ru/account/1404242908/", 1404242908)</f>
        <v>1404242908</v>
      </c>
      <c r="F3678">
        <v>-2344.34</v>
      </c>
    </row>
    <row r="3679" spans="1:6" hidden="1" x14ac:dyDescent="0.25">
      <c r="A3679" t="s">
        <v>654</v>
      </c>
      <c r="B3679" t="s">
        <v>162</v>
      </c>
      <c r="E3679" s="3">
        <f>HYPERLINK("https://sao.dolgi.msk.ru/account/1404242916/", 1404242916)</f>
        <v>1404242916</v>
      </c>
      <c r="F3679">
        <v>-2366.5</v>
      </c>
    </row>
    <row r="3680" spans="1:6" hidden="1" x14ac:dyDescent="0.25">
      <c r="A3680" t="s">
        <v>654</v>
      </c>
      <c r="B3680" t="s">
        <v>163</v>
      </c>
      <c r="E3680" s="3">
        <f>HYPERLINK("https://sao.dolgi.msk.ru/account/1404241286/", 1404241286)</f>
        <v>1404241286</v>
      </c>
      <c r="F3680">
        <v>-1328.75</v>
      </c>
    </row>
    <row r="3681" spans="1:6" hidden="1" x14ac:dyDescent="0.25">
      <c r="A3681" t="s">
        <v>654</v>
      </c>
      <c r="B3681" t="s">
        <v>164</v>
      </c>
      <c r="E3681" s="3">
        <f>HYPERLINK("https://sao.dolgi.msk.ru/account/1404242326/", 1404242326)</f>
        <v>1404242326</v>
      </c>
      <c r="F3681">
        <v>-3258.56</v>
      </c>
    </row>
    <row r="3682" spans="1:6" hidden="1" x14ac:dyDescent="0.25">
      <c r="A3682" t="s">
        <v>654</v>
      </c>
      <c r="B3682" t="s">
        <v>165</v>
      </c>
      <c r="E3682" s="3">
        <f>HYPERLINK("https://sao.dolgi.msk.ru/account/1404242334/", 1404242334)</f>
        <v>1404242334</v>
      </c>
      <c r="F3682">
        <v>0</v>
      </c>
    </row>
    <row r="3683" spans="1:6" hidden="1" x14ac:dyDescent="0.25">
      <c r="A3683" t="s">
        <v>654</v>
      </c>
      <c r="B3683" t="s">
        <v>166</v>
      </c>
      <c r="E3683" s="3">
        <f>HYPERLINK("https://sao.dolgi.msk.ru/account/1404242991/", 1404242991)</f>
        <v>1404242991</v>
      </c>
      <c r="F3683">
        <v>-2375.7399999999998</v>
      </c>
    </row>
    <row r="3684" spans="1:6" hidden="1" x14ac:dyDescent="0.25">
      <c r="A3684" t="s">
        <v>654</v>
      </c>
      <c r="B3684" t="s">
        <v>167</v>
      </c>
      <c r="E3684" s="3">
        <f>HYPERLINK("https://sao.dolgi.msk.ru/account/1404243003/", 1404243003)</f>
        <v>1404243003</v>
      </c>
      <c r="F3684">
        <v>-2325.36</v>
      </c>
    </row>
    <row r="3685" spans="1:6" hidden="1" x14ac:dyDescent="0.25">
      <c r="A3685" t="s">
        <v>654</v>
      </c>
      <c r="B3685" t="s">
        <v>168</v>
      </c>
      <c r="E3685" s="3">
        <f>HYPERLINK("https://sao.dolgi.msk.ru/account/1404243011/", 1404243011)</f>
        <v>1404243011</v>
      </c>
      <c r="F3685">
        <v>0</v>
      </c>
    </row>
    <row r="3686" spans="1:6" hidden="1" x14ac:dyDescent="0.25">
      <c r="A3686" t="s">
        <v>654</v>
      </c>
      <c r="B3686" t="s">
        <v>169</v>
      </c>
      <c r="E3686" s="3">
        <f>HYPERLINK("https://sao.dolgi.msk.ru/account/1404240953/", 1404240953)</f>
        <v>1404240953</v>
      </c>
      <c r="F3686">
        <v>-3277.05</v>
      </c>
    </row>
    <row r="3687" spans="1:6" hidden="1" x14ac:dyDescent="0.25">
      <c r="A3687" t="s">
        <v>654</v>
      </c>
      <c r="B3687" t="s">
        <v>170</v>
      </c>
      <c r="E3687" s="3">
        <f>HYPERLINK("https://sao.dolgi.msk.ru/account/1404241294/", 1404241294)</f>
        <v>1404241294</v>
      </c>
      <c r="F3687">
        <v>0</v>
      </c>
    </row>
    <row r="3688" spans="1:6" hidden="1" x14ac:dyDescent="0.25">
      <c r="A3688" t="s">
        <v>654</v>
      </c>
      <c r="B3688" t="s">
        <v>171</v>
      </c>
      <c r="E3688" s="3">
        <f>HYPERLINK("https://sao.dolgi.msk.ru/account/1404241964/", 1404241964)</f>
        <v>1404241964</v>
      </c>
      <c r="F3688">
        <v>-2357.25</v>
      </c>
    </row>
    <row r="3689" spans="1:6" hidden="1" x14ac:dyDescent="0.25">
      <c r="A3689" t="s">
        <v>654</v>
      </c>
      <c r="B3689" t="s">
        <v>172</v>
      </c>
      <c r="E3689" s="3">
        <f>HYPERLINK("https://sao.dolgi.msk.ru/account/1404243038/", 1404243038)</f>
        <v>1404243038</v>
      </c>
      <c r="F3689">
        <v>-2505.16</v>
      </c>
    </row>
    <row r="3690" spans="1:6" hidden="1" x14ac:dyDescent="0.25">
      <c r="A3690" t="s">
        <v>654</v>
      </c>
      <c r="B3690" t="s">
        <v>173</v>
      </c>
      <c r="E3690" s="3">
        <f>HYPERLINK("https://sao.dolgi.msk.ru/account/1404241972/", 1404241972)</f>
        <v>1404241972</v>
      </c>
      <c r="F3690">
        <v>-3398.19</v>
      </c>
    </row>
    <row r="3691" spans="1:6" hidden="1" x14ac:dyDescent="0.25">
      <c r="A3691" t="s">
        <v>654</v>
      </c>
      <c r="B3691" t="s">
        <v>174</v>
      </c>
      <c r="E3691" s="3">
        <f>HYPERLINK("https://sao.dolgi.msk.ru/account/1404243046/", 1404243046)</f>
        <v>1404243046</v>
      </c>
      <c r="F3691">
        <v>-1186.49</v>
      </c>
    </row>
    <row r="3692" spans="1:6" hidden="1" x14ac:dyDescent="0.25">
      <c r="A3692" t="s">
        <v>654</v>
      </c>
      <c r="B3692" t="s">
        <v>175</v>
      </c>
      <c r="E3692" s="3">
        <f>HYPERLINK("https://sao.dolgi.msk.ru/account/1404243345/", 1404243345)</f>
        <v>1404243345</v>
      </c>
      <c r="F3692">
        <v>0</v>
      </c>
    </row>
    <row r="3693" spans="1:6" x14ac:dyDescent="0.25">
      <c r="A3693" t="s">
        <v>654</v>
      </c>
      <c r="B3693" t="s">
        <v>176</v>
      </c>
      <c r="C3693" s="5" t="str">
        <f>" кв. "&amp;B3693</f>
        <v xml:space="preserve"> кв. 172</v>
      </c>
      <c r="D3693" s="5" t="str">
        <f>CONCATENATE(A3693,C3693)</f>
        <v>Беломорская ул., дом 26 кв. 172</v>
      </c>
      <c r="E3693" s="3">
        <f>HYPERLINK("https://sao.dolgi.msk.ru/account/1404241673/", 1404241673)</f>
        <v>1404241673</v>
      </c>
      <c r="F3693">
        <v>2218.0500000000002</v>
      </c>
    </row>
    <row r="3694" spans="1:6" hidden="1" x14ac:dyDescent="0.25">
      <c r="A3694" t="s">
        <v>654</v>
      </c>
      <c r="B3694" t="s">
        <v>177</v>
      </c>
      <c r="E3694" s="3">
        <f>HYPERLINK("https://sao.dolgi.msk.ru/account/1404241999/", 1404241999)</f>
        <v>1404241999</v>
      </c>
      <c r="F3694">
        <v>-3813.22</v>
      </c>
    </row>
    <row r="3695" spans="1:6" x14ac:dyDescent="0.25">
      <c r="A3695" t="s">
        <v>654</v>
      </c>
      <c r="B3695" t="s">
        <v>178</v>
      </c>
      <c r="C3695" s="5" t="str">
        <f>" кв. "&amp;B3695</f>
        <v xml:space="preserve"> кв. 174</v>
      </c>
      <c r="D3695" s="5" t="str">
        <f>CONCATENATE(A3695,C3695)</f>
        <v>Беломорская ул., дом 26 кв. 174</v>
      </c>
      <c r="E3695" s="3">
        <f>HYPERLINK("https://sao.dolgi.msk.ru/account/1404240961/", 1404240961)</f>
        <v>1404240961</v>
      </c>
      <c r="F3695">
        <v>1233.57</v>
      </c>
    </row>
    <row r="3696" spans="1:6" hidden="1" x14ac:dyDescent="0.25">
      <c r="A3696" t="s">
        <v>654</v>
      </c>
      <c r="B3696" t="s">
        <v>179</v>
      </c>
      <c r="E3696" s="3">
        <f>HYPERLINK("https://sao.dolgi.msk.ru/account/1404242019/", 1404242019)</f>
        <v>1404242019</v>
      </c>
      <c r="F3696">
        <v>-1784.12</v>
      </c>
    </row>
    <row r="3697" spans="1:6" hidden="1" x14ac:dyDescent="0.25">
      <c r="A3697" t="s">
        <v>654</v>
      </c>
      <c r="B3697" t="s">
        <v>180</v>
      </c>
      <c r="E3697" s="3">
        <f>HYPERLINK("https://sao.dolgi.msk.ru/account/1404242123/", 1404242123)</f>
        <v>1404242123</v>
      </c>
      <c r="F3697">
        <v>0</v>
      </c>
    </row>
    <row r="3698" spans="1:6" hidden="1" x14ac:dyDescent="0.25">
      <c r="A3698" t="s">
        <v>654</v>
      </c>
      <c r="B3698" t="s">
        <v>181</v>
      </c>
      <c r="E3698" s="3">
        <f>HYPERLINK("https://sao.dolgi.msk.ru/account/1404242449/", 1404242449)</f>
        <v>1404242449</v>
      </c>
      <c r="F3698">
        <v>-2660.94</v>
      </c>
    </row>
    <row r="3699" spans="1:6" hidden="1" x14ac:dyDescent="0.25">
      <c r="A3699" t="s">
        <v>654</v>
      </c>
      <c r="B3699" t="s">
        <v>182</v>
      </c>
      <c r="E3699" s="3">
        <f>HYPERLINK("https://sao.dolgi.msk.ru/account/1404243206/", 1404243206)</f>
        <v>1404243206</v>
      </c>
      <c r="F3699">
        <v>-1784.12</v>
      </c>
    </row>
    <row r="3700" spans="1:6" hidden="1" x14ac:dyDescent="0.25">
      <c r="A3700" t="s">
        <v>654</v>
      </c>
      <c r="B3700" t="s">
        <v>183</v>
      </c>
      <c r="E3700" s="3">
        <f>HYPERLINK("https://sao.dolgi.msk.ru/account/1404241817/", 1404241817)</f>
        <v>1404241817</v>
      </c>
      <c r="F3700">
        <v>-1588.11</v>
      </c>
    </row>
    <row r="3701" spans="1:6" hidden="1" x14ac:dyDescent="0.25">
      <c r="A3701" t="s">
        <v>654</v>
      </c>
      <c r="B3701" t="s">
        <v>184</v>
      </c>
      <c r="E3701" s="3">
        <f>HYPERLINK("https://sao.dolgi.msk.ru/account/1404242465/", 1404242465)</f>
        <v>1404242465</v>
      </c>
      <c r="F3701">
        <v>0</v>
      </c>
    </row>
    <row r="3702" spans="1:6" hidden="1" x14ac:dyDescent="0.25">
      <c r="A3702" t="s">
        <v>654</v>
      </c>
      <c r="B3702" t="s">
        <v>185</v>
      </c>
      <c r="E3702" s="3">
        <f>HYPERLINK("https://sao.dolgi.msk.ru/account/1404241825/", 1404241825)</f>
        <v>1404241825</v>
      </c>
      <c r="F3702">
        <v>0</v>
      </c>
    </row>
    <row r="3703" spans="1:6" hidden="1" x14ac:dyDescent="0.25">
      <c r="A3703" t="s">
        <v>654</v>
      </c>
      <c r="B3703" t="s">
        <v>186</v>
      </c>
      <c r="E3703" s="3">
        <f>HYPERLINK("https://sao.dolgi.msk.ru/account/1404240697/", 1404240697)</f>
        <v>1404240697</v>
      </c>
      <c r="F3703">
        <v>-1770.25</v>
      </c>
    </row>
    <row r="3704" spans="1:6" hidden="1" x14ac:dyDescent="0.25">
      <c r="A3704" t="s">
        <v>654</v>
      </c>
      <c r="B3704" t="s">
        <v>187</v>
      </c>
      <c r="E3704" s="3">
        <f>HYPERLINK("https://sao.dolgi.msk.ru/account/1404241462/", 1404241462)</f>
        <v>1404241462</v>
      </c>
      <c r="F3704">
        <v>-1774.87</v>
      </c>
    </row>
    <row r="3705" spans="1:6" hidden="1" x14ac:dyDescent="0.25">
      <c r="A3705" t="s">
        <v>654</v>
      </c>
      <c r="B3705" t="s">
        <v>188</v>
      </c>
      <c r="E3705" s="3">
        <f>HYPERLINK("https://sao.dolgi.msk.ru/account/1404242828/", 1404242828)</f>
        <v>1404242828</v>
      </c>
      <c r="F3705">
        <v>0</v>
      </c>
    </row>
    <row r="3706" spans="1:6" hidden="1" x14ac:dyDescent="0.25">
      <c r="A3706" t="s">
        <v>654</v>
      </c>
      <c r="B3706" t="s">
        <v>189</v>
      </c>
      <c r="E3706" s="3">
        <f>HYPERLINK("https://sao.dolgi.msk.ru/account/1404242473/", 1404242473)</f>
        <v>1404242473</v>
      </c>
      <c r="F3706">
        <v>-3216.97</v>
      </c>
    </row>
    <row r="3707" spans="1:6" x14ac:dyDescent="0.25">
      <c r="A3707" t="s">
        <v>654</v>
      </c>
      <c r="B3707" t="s">
        <v>190</v>
      </c>
      <c r="C3707" s="5" t="str">
        <f>" кв. "&amp;B3707</f>
        <v xml:space="preserve"> кв. 186</v>
      </c>
      <c r="D3707" s="5" t="str">
        <f>CONCATENATE(A3707,C3707)</f>
        <v>Беломорская ул., дом 26 кв. 186</v>
      </c>
      <c r="E3707" s="3">
        <f>HYPERLINK("https://sao.dolgi.msk.ru/account/1404241489/", 1404241489)</f>
        <v>1404241489</v>
      </c>
      <c r="F3707">
        <v>1632.11</v>
      </c>
    </row>
    <row r="3708" spans="1:6" hidden="1" x14ac:dyDescent="0.25">
      <c r="A3708" t="s">
        <v>654</v>
      </c>
      <c r="B3708" t="s">
        <v>191</v>
      </c>
      <c r="E3708" s="3">
        <f>HYPERLINK("https://sao.dolgi.msk.ru/account/1404241083/", 1404241083)</f>
        <v>1404241083</v>
      </c>
      <c r="F3708">
        <v>-1626.97</v>
      </c>
    </row>
    <row r="3709" spans="1:6" x14ac:dyDescent="0.25">
      <c r="A3709" t="s">
        <v>654</v>
      </c>
      <c r="B3709" t="s">
        <v>192</v>
      </c>
      <c r="C3709" s="5" t="str">
        <f>" кв. "&amp;B3709</f>
        <v xml:space="preserve"> кв. 188</v>
      </c>
      <c r="D3709" s="5" t="str">
        <f>CONCATENATE(A3709,C3709)</f>
        <v>Беломорская ул., дом 26 кв. 188</v>
      </c>
      <c r="E3709" s="3">
        <f>HYPERLINK("https://sao.dolgi.msk.ru/account/1404240718/", 1404240718)</f>
        <v>1404240718</v>
      </c>
      <c r="F3709">
        <v>2245.73</v>
      </c>
    </row>
    <row r="3710" spans="1:6" hidden="1" x14ac:dyDescent="0.25">
      <c r="A3710" t="s">
        <v>654</v>
      </c>
      <c r="B3710" t="s">
        <v>193</v>
      </c>
      <c r="E3710" s="3">
        <f>HYPERLINK("https://sao.dolgi.msk.ru/account/1404241833/", 1404241833)</f>
        <v>1404241833</v>
      </c>
      <c r="F3710">
        <v>-3221.59</v>
      </c>
    </row>
    <row r="3711" spans="1:6" hidden="1" x14ac:dyDescent="0.25">
      <c r="A3711" t="s">
        <v>654</v>
      </c>
      <c r="B3711" t="s">
        <v>194</v>
      </c>
      <c r="E3711" s="3">
        <f>HYPERLINK("https://sao.dolgi.msk.ru/account/1404241841/", 1404241841)</f>
        <v>1404241841</v>
      </c>
      <c r="F3711">
        <v>-2384.9899999999998</v>
      </c>
    </row>
    <row r="3712" spans="1:6" hidden="1" x14ac:dyDescent="0.25">
      <c r="A3712" t="s">
        <v>654</v>
      </c>
      <c r="B3712" t="s">
        <v>195</v>
      </c>
      <c r="E3712" s="3">
        <f>HYPERLINK("https://sao.dolgi.msk.ru/account/1404241868/", 1404241868)</f>
        <v>1404241868</v>
      </c>
      <c r="F3712">
        <v>-2417.35</v>
      </c>
    </row>
    <row r="3713" spans="1:6" hidden="1" x14ac:dyDescent="0.25">
      <c r="A3713" t="s">
        <v>654</v>
      </c>
      <c r="B3713" t="s">
        <v>196</v>
      </c>
      <c r="E3713" s="3">
        <f>HYPERLINK("https://sao.dolgi.msk.ru/account/1404241091/", 1404241091)</f>
        <v>1404241091</v>
      </c>
      <c r="F3713">
        <v>-3272.42</v>
      </c>
    </row>
    <row r="3714" spans="1:6" hidden="1" x14ac:dyDescent="0.25">
      <c r="A3714" t="s">
        <v>654</v>
      </c>
      <c r="B3714" t="s">
        <v>197</v>
      </c>
      <c r="E3714" s="3">
        <f>HYPERLINK("https://sao.dolgi.msk.ru/account/1404242481/", 1404242481)</f>
        <v>1404242481</v>
      </c>
      <c r="F3714">
        <v>0</v>
      </c>
    </row>
    <row r="3715" spans="1:6" hidden="1" x14ac:dyDescent="0.25">
      <c r="A3715" t="s">
        <v>654</v>
      </c>
      <c r="B3715" t="s">
        <v>198</v>
      </c>
      <c r="E3715" s="3">
        <f>HYPERLINK("https://sao.dolgi.msk.ru/account/1404241497/", 1404241497)</f>
        <v>1404241497</v>
      </c>
      <c r="F3715">
        <v>-747.04</v>
      </c>
    </row>
    <row r="3716" spans="1:6" x14ac:dyDescent="0.25">
      <c r="A3716" t="s">
        <v>654</v>
      </c>
      <c r="B3716" t="s">
        <v>199</v>
      </c>
      <c r="C3716" s="5" t="str">
        <f t="shared" ref="C3716:C3717" si="166">" кв. "&amp;B3716</f>
        <v xml:space="preserve"> кв. 195</v>
      </c>
      <c r="D3716" s="5" t="str">
        <f>CONCATENATE(A3716,C3716)</f>
        <v>Беломорская ул., дом 26 кв. 195</v>
      </c>
      <c r="E3716" s="3">
        <f>HYPERLINK("https://sao.dolgi.msk.ru/account/1404241518/", 1404241518)</f>
        <v>1404241518</v>
      </c>
      <c r="F3716">
        <v>1628.95</v>
      </c>
    </row>
    <row r="3717" spans="1:6" x14ac:dyDescent="0.25">
      <c r="A3717" t="s">
        <v>654</v>
      </c>
      <c r="B3717" t="s">
        <v>200</v>
      </c>
      <c r="C3717" s="5" t="str">
        <f t="shared" si="166"/>
        <v xml:space="preserve"> кв. 196</v>
      </c>
      <c r="D3717" s="5" t="str">
        <f>CONCATENATE(A3717,C3717)</f>
        <v>Беломорская ул., дом 26 кв. 196</v>
      </c>
      <c r="E3717" s="3">
        <f>HYPERLINK("https://sao.dolgi.msk.ru/account/1404243126/", 1404243126)</f>
        <v>1404243126</v>
      </c>
      <c r="F3717">
        <v>2226.75</v>
      </c>
    </row>
    <row r="3718" spans="1:6" hidden="1" x14ac:dyDescent="0.25">
      <c r="A3718" t="s">
        <v>654</v>
      </c>
      <c r="B3718" t="s">
        <v>201</v>
      </c>
      <c r="E3718" s="3">
        <f>HYPERLINK("https://sao.dolgi.msk.ru/account/1404243396/", 1404243396)</f>
        <v>1404243396</v>
      </c>
      <c r="F3718">
        <v>-2048.88</v>
      </c>
    </row>
    <row r="3719" spans="1:6" hidden="1" x14ac:dyDescent="0.25">
      <c r="A3719" t="s">
        <v>654</v>
      </c>
      <c r="B3719" t="s">
        <v>202</v>
      </c>
      <c r="E3719" s="3">
        <f>HYPERLINK("https://sao.dolgi.msk.ru/account/1404241745/", 1404241745)</f>
        <v>1404241745</v>
      </c>
      <c r="F3719">
        <v>-2371.12</v>
      </c>
    </row>
    <row r="3720" spans="1:6" x14ac:dyDescent="0.25">
      <c r="A3720" t="s">
        <v>654</v>
      </c>
      <c r="B3720" t="s">
        <v>203</v>
      </c>
      <c r="C3720" s="5" t="str">
        <f>" кв. "&amp;B3720</f>
        <v xml:space="preserve"> кв. 199</v>
      </c>
      <c r="D3720" s="5" t="str">
        <f>CONCATENATE(A3720,C3720)</f>
        <v>Беломорская ул., дом 26 кв. 199</v>
      </c>
      <c r="E3720" s="3">
        <f>HYPERLINK("https://sao.dolgi.msk.ru/account/1404241067/", 1404241067)</f>
        <v>1404241067</v>
      </c>
      <c r="F3720">
        <v>1613.13</v>
      </c>
    </row>
    <row r="3721" spans="1:6" hidden="1" x14ac:dyDescent="0.25">
      <c r="A3721" t="s">
        <v>654</v>
      </c>
      <c r="B3721" t="s">
        <v>204</v>
      </c>
      <c r="E3721" s="3">
        <f>HYPERLINK("https://sao.dolgi.msk.ru/account/1404243097/", 1404243097)</f>
        <v>1404243097</v>
      </c>
      <c r="F3721">
        <v>-815.79</v>
      </c>
    </row>
    <row r="3722" spans="1:6" hidden="1" x14ac:dyDescent="0.25">
      <c r="A3722" t="s">
        <v>654</v>
      </c>
      <c r="B3722" t="s">
        <v>204</v>
      </c>
      <c r="E3722" s="3">
        <f>HYPERLINK("https://sao.dolgi.msk.ru/account/1404243214/", 1404243214)</f>
        <v>1404243214</v>
      </c>
      <c r="F3722">
        <v>-2114.75</v>
      </c>
    </row>
    <row r="3723" spans="1:6" x14ac:dyDescent="0.25">
      <c r="A3723" t="s">
        <v>654</v>
      </c>
      <c r="B3723" t="s">
        <v>205</v>
      </c>
      <c r="C3723" s="5" t="str">
        <f t="shared" ref="C3723:C3724" si="167">" кв. "&amp;B3723</f>
        <v xml:space="preserve"> кв. 201</v>
      </c>
      <c r="D3723" s="5" t="str">
        <f>CONCATENATE(A3723,C3723)</f>
        <v>Беломорская ул., дом 26 кв. 201</v>
      </c>
      <c r="E3723" s="3">
        <f>HYPERLINK("https://sao.dolgi.msk.ru/account/1404241104/", 1404241104)</f>
        <v>1404241104</v>
      </c>
      <c r="F3723">
        <v>733.82</v>
      </c>
    </row>
    <row r="3724" spans="1:6" x14ac:dyDescent="0.25">
      <c r="A3724" t="s">
        <v>654</v>
      </c>
      <c r="B3724" t="s">
        <v>205</v>
      </c>
      <c r="C3724" s="5" t="str">
        <f t="shared" si="167"/>
        <v xml:space="preserve"> кв. 201</v>
      </c>
      <c r="D3724" s="5" t="str">
        <f>CONCATENATE(A3724,C3724)</f>
        <v>Беломорская ул., дом 26 кв. 201</v>
      </c>
      <c r="E3724" s="3">
        <f>HYPERLINK("https://sao.dolgi.msk.ru/account/1404242131/", 1404242131)</f>
        <v>1404242131</v>
      </c>
      <c r="F3724">
        <v>1467.63</v>
      </c>
    </row>
    <row r="3725" spans="1:6" hidden="1" x14ac:dyDescent="0.25">
      <c r="A3725" t="s">
        <v>654</v>
      </c>
      <c r="B3725" t="s">
        <v>206</v>
      </c>
      <c r="E3725" s="3">
        <f>HYPERLINK("https://sao.dolgi.msk.ru/account/1404242158/", 1404242158)</f>
        <v>1404242158</v>
      </c>
      <c r="F3725">
        <v>-785.53</v>
      </c>
    </row>
    <row r="3726" spans="1:6" hidden="1" x14ac:dyDescent="0.25">
      <c r="A3726" t="s">
        <v>654</v>
      </c>
      <c r="B3726" t="s">
        <v>206</v>
      </c>
      <c r="E3726" s="3">
        <f>HYPERLINK("https://sao.dolgi.msk.ru/account/1404242748/", 1404242748)</f>
        <v>1404242748</v>
      </c>
      <c r="F3726">
        <v>-809.32</v>
      </c>
    </row>
    <row r="3727" spans="1:6" hidden="1" x14ac:dyDescent="0.25">
      <c r="A3727" t="s">
        <v>654</v>
      </c>
      <c r="B3727" t="s">
        <v>207</v>
      </c>
      <c r="E3727" s="3">
        <f>HYPERLINK("https://sao.dolgi.msk.ru/account/1404242166/", 1404242166)</f>
        <v>1404242166</v>
      </c>
      <c r="F3727">
        <v>-2004.65</v>
      </c>
    </row>
    <row r="3728" spans="1:6" hidden="1" x14ac:dyDescent="0.25">
      <c r="A3728" t="s">
        <v>654</v>
      </c>
      <c r="B3728" t="s">
        <v>208</v>
      </c>
      <c r="E3728" s="3">
        <f>HYPERLINK("https://sao.dolgi.msk.ru/account/1404242529/", 1404242529)</f>
        <v>1404242529</v>
      </c>
      <c r="F3728">
        <v>-3272.42</v>
      </c>
    </row>
    <row r="3729" spans="1:6" hidden="1" x14ac:dyDescent="0.25">
      <c r="A3729" t="s">
        <v>654</v>
      </c>
      <c r="B3729" t="s">
        <v>209</v>
      </c>
      <c r="E3729" s="3">
        <f>HYPERLINK("https://sao.dolgi.msk.ru/account/1404240734/", 1404240734)</f>
        <v>1404240734</v>
      </c>
      <c r="F3729">
        <v>0</v>
      </c>
    </row>
    <row r="3730" spans="1:6" hidden="1" x14ac:dyDescent="0.25">
      <c r="A3730" t="s">
        <v>654</v>
      </c>
      <c r="B3730" t="s">
        <v>210</v>
      </c>
      <c r="E3730" s="3">
        <f>HYPERLINK("https://sao.dolgi.msk.ru/account/1404242836/", 1404242836)</f>
        <v>1404242836</v>
      </c>
      <c r="F3730">
        <v>-4409.34</v>
      </c>
    </row>
    <row r="3731" spans="1:6" x14ac:dyDescent="0.25">
      <c r="A3731" t="s">
        <v>654</v>
      </c>
      <c r="B3731" t="s">
        <v>211</v>
      </c>
      <c r="C3731" s="5" t="str">
        <f t="shared" ref="C3731:C3732" si="168">" кв. "&amp;B3731</f>
        <v xml:space="preserve"> кв. 207</v>
      </c>
      <c r="D3731" s="5" t="str">
        <f>CONCATENATE(A3731,C3731)</f>
        <v>Беломорская ул., дом 26 кв. 207</v>
      </c>
      <c r="E3731" s="3">
        <f>HYPERLINK("https://sao.dolgi.msk.ru/account/1404243222/", 1404243222)</f>
        <v>1404243222</v>
      </c>
      <c r="F3731">
        <v>1622.62</v>
      </c>
    </row>
    <row r="3732" spans="1:6" x14ac:dyDescent="0.25">
      <c r="A3732" t="s">
        <v>654</v>
      </c>
      <c r="B3732" t="s">
        <v>212</v>
      </c>
      <c r="C3732" s="5" t="str">
        <f t="shared" si="168"/>
        <v xml:space="preserve"> кв. 208</v>
      </c>
      <c r="D3732" s="5" t="str">
        <f>CONCATENATE(A3732,C3732)</f>
        <v>Беломорская ул., дом 26 кв. 208</v>
      </c>
      <c r="E3732" s="3">
        <f>HYPERLINK("https://sao.dolgi.msk.ru/account/1404241876/", 1404241876)</f>
        <v>1404241876</v>
      </c>
      <c r="F3732">
        <v>2236.2399999999998</v>
      </c>
    </row>
    <row r="3733" spans="1:6" hidden="1" x14ac:dyDescent="0.25">
      <c r="A3733" t="s">
        <v>655</v>
      </c>
      <c r="B3733" t="s">
        <v>5</v>
      </c>
      <c r="E3733" s="3">
        <f>HYPERLINK("https://sao.dolgi.msk.ru/account/1404204792/", 1404204792)</f>
        <v>1404204792</v>
      </c>
      <c r="F3733">
        <v>-1156.3399999999999</v>
      </c>
    </row>
    <row r="3734" spans="1:6" x14ac:dyDescent="0.25">
      <c r="A3734" t="s">
        <v>655</v>
      </c>
      <c r="B3734" t="s">
        <v>6</v>
      </c>
      <c r="C3734" s="5" t="str">
        <f t="shared" ref="C3734:C3735" si="169">" кв. "&amp;B3734</f>
        <v xml:space="preserve"> кв. 2</v>
      </c>
      <c r="D3734" s="5" t="str">
        <f>CONCATENATE(A3734,C3734)</f>
        <v>Валдайский пр., дом 4 кв. 2</v>
      </c>
      <c r="E3734" s="3">
        <f>HYPERLINK("https://sao.dolgi.msk.ru/account/1404205103/", 1404205103)</f>
        <v>1404205103</v>
      </c>
      <c r="F3734">
        <v>567.1</v>
      </c>
    </row>
    <row r="3735" spans="1:6" x14ac:dyDescent="0.25">
      <c r="A3735" t="s">
        <v>655</v>
      </c>
      <c r="B3735" t="s">
        <v>7</v>
      </c>
      <c r="C3735" s="5" t="str">
        <f t="shared" si="169"/>
        <v xml:space="preserve"> кв. 3</v>
      </c>
      <c r="D3735" s="5" t="str">
        <f>CONCATENATE(A3735,C3735)</f>
        <v>Валдайский пр., дом 4 кв. 3</v>
      </c>
      <c r="E3735" s="3">
        <f>HYPERLINK("https://sao.dolgi.msk.ru/account/1404204362/", 1404204362)</f>
        <v>1404204362</v>
      </c>
      <c r="F3735">
        <v>1001.7</v>
      </c>
    </row>
    <row r="3736" spans="1:6" hidden="1" x14ac:dyDescent="0.25">
      <c r="A3736" t="s">
        <v>655</v>
      </c>
      <c r="B3736" t="s">
        <v>8</v>
      </c>
      <c r="E3736" s="3">
        <f>HYPERLINK("https://sao.dolgi.msk.ru/account/1404204581/", 1404204581)</f>
        <v>1404204581</v>
      </c>
      <c r="F3736">
        <v>0</v>
      </c>
    </row>
    <row r="3737" spans="1:6" hidden="1" x14ac:dyDescent="0.25">
      <c r="A3737" t="s">
        <v>655</v>
      </c>
      <c r="B3737" t="s">
        <v>9</v>
      </c>
      <c r="E3737" s="3">
        <f>HYPERLINK("https://sao.dolgi.msk.ru/account/1404204477/", 1404204477)</f>
        <v>1404204477</v>
      </c>
      <c r="F3737">
        <v>-1302.92</v>
      </c>
    </row>
    <row r="3738" spans="1:6" hidden="1" x14ac:dyDescent="0.25">
      <c r="A3738" t="s">
        <v>655</v>
      </c>
      <c r="B3738" t="s">
        <v>10</v>
      </c>
      <c r="E3738" s="3">
        <f>HYPERLINK("https://sao.dolgi.msk.ru/account/1404204645/", 1404204645)</f>
        <v>1404204645</v>
      </c>
      <c r="F3738">
        <v>-726.37</v>
      </c>
    </row>
    <row r="3739" spans="1:6" hidden="1" x14ac:dyDescent="0.25">
      <c r="A3739" t="s">
        <v>655</v>
      </c>
      <c r="B3739" t="s">
        <v>10</v>
      </c>
      <c r="E3739" s="3">
        <f>HYPERLINK("https://sao.dolgi.msk.ru/account/1404205445/", 1404205445)</f>
        <v>1404205445</v>
      </c>
      <c r="F3739">
        <v>-337.07</v>
      </c>
    </row>
    <row r="3740" spans="1:6" x14ac:dyDescent="0.25">
      <c r="A3740" t="s">
        <v>655</v>
      </c>
      <c r="B3740" t="s">
        <v>11</v>
      </c>
      <c r="C3740" s="5" t="str">
        <f t="shared" ref="C3740:C3741" si="170">" кв. "&amp;B3740</f>
        <v xml:space="preserve"> кв. 7</v>
      </c>
      <c r="D3740" s="5" t="str">
        <f>CONCATENATE(A3740,C3740)</f>
        <v>Валдайский пр., дом 4 кв. 7</v>
      </c>
      <c r="E3740" s="3">
        <f>HYPERLINK("https://sao.dolgi.msk.ru/account/1404205461/", 1404205461)</f>
        <v>1404205461</v>
      </c>
      <c r="F3740">
        <v>575.04999999999995</v>
      </c>
    </row>
    <row r="3741" spans="1:6" x14ac:dyDescent="0.25">
      <c r="A3741" t="s">
        <v>655</v>
      </c>
      <c r="B3741" t="s">
        <v>12</v>
      </c>
      <c r="C3741" s="5" t="str">
        <f t="shared" si="170"/>
        <v xml:space="preserve"> кв. 8</v>
      </c>
      <c r="D3741" s="5" t="str">
        <f>CONCATENATE(A3741,C3741)</f>
        <v>Валдайский пр., дом 4 кв. 8</v>
      </c>
      <c r="E3741" s="3">
        <f>HYPERLINK("https://sao.dolgi.msk.ru/account/1404204776/", 1404204776)</f>
        <v>1404204776</v>
      </c>
      <c r="F3741">
        <v>932.8</v>
      </c>
    </row>
    <row r="3742" spans="1:6" hidden="1" x14ac:dyDescent="0.25">
      <c r="A3742" t="s">
        <v>655</v>
      </c>
      <c r="B3742" t="s">
        <v>13</v>
      </c>
      <c r="E3742" s="3">
        <f>HYPERLINK("https://sao.dolgi.msk.ru/account/1404204071/", 1404204071)</f>
        <v>1404204071</v>
      </c>
      <c r="F3742">
        <v>0</v>
      </c>
    </row>
    <row r="3743" spans="1:6" hidden="1" x14ac:dyDescent="0.25">
      <c r="A3743" t="s">
        <v>655</v>
      </c>
      <c r="B3743" t="s">
        <v>14</v>
      </c>
      <c r="E3743" s="3">
        <f>HYPERLINK("https://sao.dolgi.msk.ru/account/1404204805/", 1404204805)</f>
        <v>1404204805</v>
      </c>
      <c r="F3743">
        <v>0</v>
      </c>
    </row>
    <row r="3744" spans="1:6" hidden="1" x14ac:dyDescent="0.25">
      <c r="A3744" t="s">
        <v>655</v>
      </c>
      <c r="B3744" t="s">
        <v>15</v>
      </c>
      <c r="E3744" s="3">
        <f>HYPERLINK("https://sao.dolgi.msk.ru/account/1404204709/", 1404204709)</f>
        <v>1404204709</v>
      </c>
      <c r="F3744">
        <v>-1742.51</v>
      </c>
    </row>
    <row r="3745" spans="1:6" x14ac:dyDescent="0.25">
      <c r="A3745" t="s">
        <v>655</v>
      </c>
      <c r="B3745" t="s">
        <v>16</v>
      </c>
      <c r="C3745" s="5" t="str">
        <f t="shared" ref="C3745:C3746" si="171">" кв. "&amp;B3745</f>
        <v xml:space="preserve"> кв. 12</v>
      </c>
      <c r="D3745" s="5" t="str">
        <f>CONCATENATE(A3745,C3745)</f>
        <v>Валдайский пр., дом 4 кв. 12</v>
      </c>
      <c r="E3745" s="3">
        <f>HYPERLINK("https://sao.dolgi.msk.ru/account/1404204717/", 1404204717)</f>
        <v>1404204717</v>
      </c>
      <c r="F3745">
        <v>383.12</v>
      </c>
    </row>
    <row r="3746" spans="1:6" x14ac:dyDescent="0.25">
      <c r="A3746" t="s">
        <v>655</v>
      </c>
      <c r="B3746" t="s">
        <v>16</v>
      </c>
      <c r="C3746" s="5" t="str">
        <f t="shared" si="171"/>
        <v xml:space="preserve"> кв. 12</v>
      </c>
      <c r="D3746" s="5" t="str">
        <f>CONCATENATE(A3746,C3746)</f>
        <v>Валдайский пр., дом 4 кв. 12</v>
      </c>
      <c r="E3746" s="3">
        <f>HYPERLINK("https://sao.dolgi.msk.ru/account/1404204872/", 1404204872)</f>
        <v>1404204872</v>
      </c>
      <c r="F3746">
        <v>255.41</v>
      </c>
    </row>
    <row r="3747" spans="1:6" hidden="1" x14ac:dyDescent="0.25">
      <c r="A3747" t="s">
        <v>655</v>
      </c>
      <c r="B3747" t="s">
        <v>17</v>
      </c>
      <c r="E3747" s="3">
        <f>HYPERLINK("https://sao.dolgi.msk.ru/account/1404205074/", 1404205074)</f>
        <v>1404205074</v>
      </c>
      <c r="F3747">
        <v>0</v>
      </c>
    </row>
    <row r="3748" spans="1:6" x14ac:dyDescent="0.25">
      <c r="A3748" t="s">
        <v>655</v>
      </c>
      <c r="B3748" t="s">
        <v>18</v>
      </c>
      <c r="C3748" s="5" t="str">
        <f t="shared" ref="C3748:C3749" si="172">" кв. "&amp;B3748</f>
        <v xml:space="preserve"> кв. 14</v>
      </c>
      <c r="D3748" s="5" t="str">
        <f>CONCATENATE(A3748,C3748)</f>
        <v>Валдайский пр., дом 4 кв. 14</v>
      </c>
      <c r="E3748" s="3">
        <f>HYPERLINK("https://sao.dolgi.msk.ru/account/1404205285/", 1404205285)</f>
        <v>1404205285</v>
      </c>
      <c r="F3748">
        <v>1201.94</v>
      </c>
    </row>
    <row r="3749" spans="1:6" x14ac:dyDescent="0.25">
      <c r="A3749" t="s">
        <v>655</v>
      </c>
      <c r="B3749" t="s">
        <v>19</v>
      </c>
      <c r="C3749" s="5" t="str">
        <f t="shared" si="172"/>
        <v xml:space="preserve"> кв. 15</v>
      </c>
      <c r="D3749" s="5" t="str">
        <f>CONCATENATE(A3749,C3749)</f>
        <v>Валдайский пр., дом 4 кв. 15</v>
      </c>
      <c r="E3749" s="3">
        <f>HYPERLINK("https://sao.dolgi.msk.ru/account/1404205082/", 1404205082)</f>
        <v>1404205082</v>
      </c>
      <c r="F3749">
        <v>1195.6099999999999</v>
      </c>
    </row>
    <row r="3750" spans="1:6" hidden="1" x14ac:dyDescent="0.25">
      <c r="A3750" t="s">
        <v>655</v>
      </c>
      <c r="B3750" t="s">
        <v>20</v>
      </c>
      <c r="E3750" s="3">
        <f>HYPERLINK("https://sao.dolgi.msk.ru/account/1404204952/", 1404204952)</f>
        <v>1404204952</v>
      </c>
      <c r="F3750">
        <v>0</v>
      </c>
    </row>
    <row r="3751" spans="1:6" hidden="1" x14ac:dyDescent="0.25">
      <c r="A3751" t="s">
        <v>655</v>
      </c>
      <c r="B3751" t="s">
        <v>21</v>
      </c>
      <c r="E3751" s="3">
        <f>HYPERLINK("https://sao.dolgi.msk.ru/account/1404204338/", 1404204338)</f>
        <v>1404204338</v>
      </c>
      <c r="F3751">
        <v>-1617.73</v>
      </c>
    </row>
    <row r="3752" spans="1:6" hidden="1" x14ac:dyDescent="0.25">
      <c r="A3752" t="s">
        <v>655</v>
      </c>
      <c r="B3752" t="s">
        <v>22</v>
      </c>
      <c r="E3752" s="3">
        <f>HYPERLINK("https://sao.dolgi.msk.ru/account/1404205293/", 1404205293)</f>
        <v>1404205293</v>
      </c>
      <c r="F3752">
        <v>-1765.63</v>
      </c>
    </row>
    <row r="3753" spans="1:6" hidden="1" x14ac:dyDescent="0.25">
      <c r="A3753" t="s">
        <v>655</v>
      </c>
      <c r="B3753" t="s">
        <v>23</v>
      </c>
      <c r="E3753" s="3">
        <f>HYPERLINK("https://sao.dolgi.msk.ru/account/1404204346/", 1404204346)</f>
        <v>1404204346</v>
      </c>
      <c r="F3753">
        <v>-1761</v>
      </c>
    </row>
    <row r="3754" spans="1:6" x14ac:dyDescent="0.25">
      <c r="A3754" t="s">
        <v>655</v>
      </c>
      <c r="B3754" t="s">
        <v>24</v>
      </c>
      <c r="C3754" s="5" t="str">
        <f t="shared" ref="C3754:C3755" si="173">" кв. "&amp;B3754</f>
        <v xml:space="preserve"> кв. 20</v>
      </c>
      <c r="D3754" s="5" t="str">
        <f>CONCATENATE(A3754,C3754)</f>
        <v>Валдайский пр., дом 4 кв. 20</v>
      </c>
      <c r="E3754" s="3">
        <f>HYPERLINK("https://sao.dolgi.msk.ru/account/1404204979/", 1404204979)</f>
        <v>1404204979</v>
      </c>
      <c r="F3754">
        <v>1037.46</v>
      </c>
    </row>
    <row r="3755" spans="1:6" x14ac:dyDescent="0.25">
      <c r="A3755" t="s">
        <v>655</v>
      </c>
      <c r="B3755" t="s">
        <v>25</v>
      </c>
      <c r="C3755" s="5" t="str">
        <f t="shared" si="173"/>
        <v xml:space="preserve"> кв. 21</v>
      </c>
      <c r="D3755" s="5" t="str">
        <f>CONCATENATE(A3755,C3755)</f>
        <v>Валдайский пр., дом 4 кв. 21</v>
      </c>
      <c r="E3755" s="3">
        <f>HYPERLINK("https://sao.dolgi.msk.ru/account/1404204135/", 1404204135)</f>
        <v>1404204135</v>
      </c>
      <c r="F3755">
        <v>714.84</v>
      </c>
    </row>
    <row r="3756" spans="1:6" hidden="1" x14ac:dyDescent="0.25">
      <c r="A3756" t="s">
        <v>655</v>
      </c>
      <c r="B3756" t="s">
        <v>26</v>
      </c>
      <c r="E3756" s="3">
        <f>HYPERLINK("https://sao.dolgi.msk.ru/account/1404205306/", 1404205306)</f>
        <v>1404205306</v>
      </c>
      <c r="F3756">
        <v>-1158.45</v>
      </c>
    </row>
    <row r="3757" spans="1:6" x14ac:dyDescent="0.25">
      <c r="A3757" t="s">
        <v>655</v>
      </c>
      <c r="B3757" t="s">
        <v>27</v>
      </c>
      <c r="C3757" s="5" t="str">
        <f t="shared" ref="C3757:C3758" si="174">" кв. "&amp;B3757</f>
        <v xml:space="preserve"> кв. 23</v>
      </c>
      <c r="D3757" s="5" t="str">
        <f>CONCATENATE(A3757,C3757)</f>
        <v>Валдайский пр., дом 4 кв. 23</v>
      </c>
      <c r="E3757" s="3">
        <f>HYPERLINK("https://sao.dolgi.msk.ru/account/1404205111/", 1404205111)</f>
        <v>1404205111</v>
      </c>
      <c r="F3757">
        <v>680.04</v>
      </c>
    </row>
    <row r="3758" spans="1:6" x14ac:dyDescent="0.25">
      <c r="A3758" t="s">
        <v>655</v>
      </c>
      <c r="B3758" t="s">
        <v>28</v>
      </c>
      <c r="C3758" s="5" t="str">
        <f t="shared" si="174"/>
        <v xml:space="preserve"> кв. 24</v>
      </c>
      <c r="D3758" s="5" t="str">
        <f>CONCATENATE(A3758,C3758)</f>
        <v>Валдайский пр., дом 4 кв. 24</v>
      </c>
      <c r="E3758" s="3">
        <f>HYPERLINK("https://sao.dolgi.msk.ru/account/1404204848/", 1404204848)</f>
        <v>1404204848</v>
      </c>
      <c r="F3758">
        <v>1107.05</v>
      </c>
    </row>
    <row r="3759" spans="1:6" hidden="1" x14ac:dyDescent="0.25">
      <c r="A3759" t="s">
        <v>655</v>
      </c>
      <c r="B3759" t="s">
        <v>29</v>
      </c>
      <c r="E3759" s="3">
        <f>HYPERLINK("https://sao.dolgi.msk.ru/account/1404204856/", 1404204856)</f>
        <v>1404204856</v>
      </c>
      <c r="F3759">
        <v>0</v>
      </c>
    </row>
    <row r="3760" spans="1:6" hidden="1" x14ac:dyDescent="0.25">
      <c r="A3760" t="s">
        <v>655</v>
      </c>
      <c r="B3760" t="s">
        <v>30</v>
      </c>
      <c r="E3760" s="3">
        <f>HYPERLINK("https://sao.dolgi.msk.ru/account/1404204557/", 1404204557)</f>
        <v>1404204557</v>
      </c>
      <c r="F3760">
        <v>-880.51</v>
      </c>
    </row>
    <row r="3761" spans="1:6" x14ac:dyDescent="0.25">
      <c r="A3761" t="s">
        <v>655</v>
      </c>
      <c r="B3761" t="s">
        <v>30</v>
      </c>
      <c r="C3761" s="5" t="str">
        <f t="shared" ref="C3761:C3764" si="175">" кв. "&amp;B3761</f>
        <v xml:space="preserve"> кв. 26</v>
      </c>
      <c r="D3761" s="5" t="str">
        <f>CONCATENATE(A3761,C3761)</f>
        <v>Валдайский пр., дом 4 кв. 26</v>
      </c>
      <c r="E3761" s="3">
        <f>HYPERLINK("https://sao.dolgi.msk.ru/account/1404205146/", 1404205146)</f>
        <v>1404205146</v>
      </c>
      <c r="F3761">
        <v>602.54999999999995</v>
      </c>
    </row>
    <row r="3762" spans="1:6" x14ac:dyDescent="0.25">
      <c r="A3762" t="s">
        <v>655</v>
      </c>
      <c r="B3762" t="s">
        <v>31</v>
      </c>
      <c r="C3762" s="5" t="str">
        <f t="shared" si="175"/>
        <v xml:space="preserve"> кв. 27</v>
      </c>
      <c r="D3762" s="5" t="str">
        <f>CONCATENATE(A3762,C3762)</f>
        <v>Валдайский пр., дом 4 кв. 27</v>
      </c>
      <c r="E3762" s="3">
        <f>HYPERLINK("https://sao.dolgi.msk.ru/account/1404205138/", 1404205138)</f>
        <v>1404205138</v>
      </c>
      <c r="F3762">
        <v>1211.43</v>
      </c>
    </row>
    <row r="3763" spans="1:6" x14ac:dyDescent="0.25">
      <c r="A3763" t="s">
        <v>655</v>
      </c>
      <c r="B3763" t="s">
        <v>32</v>
      </c>
      <c r="C3763" s="5" t="str">
        <f t="shared" si="175"/>
        <v xml:space="preserve"> кв. 28</v>
      </c>
      <c r="D3763" s="5" t="str">
        <f>CONCATENATE(A3763,C3763)</f>
        <v>Валдайский пр., дом 4 кв. 28</v>
      </c>
      <c r="E3763" s="3">
        <f>HYPERLINK("https://sao.dolgi.msk.ru/account/1404204354/", 1404204354)</f>
        <v>1404204354</v>
      </c>
      <c r="F3763">
        <v>518.73</v>
      </c>
    </row>
    <row r="3764" spans="1:6" x14ac:dyDescent="0.25">
      <c r="A3764" t="s">
        <v>655</v>
      </c>
      <c r="B3764" t="s">
        <v>33</v>
      </c>
      <c r="C3764" s="5" t="str">
        <f t="shared" si="175"/>
        <v xml:space="preserve"> кв. 29</v>
      </c>
      <c r="D3764" s="5" t="str">
        <f>CONCATENATE(A3764,C3764)</f>
        <v>Валдайский пр., дом 4 кв. 29</v>
      </c>
      <c r="E3764" s="3">
        <f>HYPERLINK("https://sao.dolgi.msk.ru/account/1404204725/", 1404204725)</f>
        <v>1404204725</v>
      </c>
      <c r="F3764">
        <v>904.61</v>
      </c>
    </row>
    <row r="3765" spans="1:6" hidden="1" x14ac:dyDescent="0.25">
      <c r="A3765" t="s">
        <v>655</v>
      </c>
      <c r="B3765" t="s">
        <v>34</v>
      </c>
      <c r="E3765" s="3">
        <f>HYPERLINK("https://sao.dolgi.msk.ru/account/1404204987/", 1404204987)</f>
        <v>1404204987</v>
      </c>
      <c r="F3765">
        <v>-887.43</v>
      </c>
    </row>
    <row r="3766" spans="1:6" hidden="1" x14ac:dyDescent="0.25">
      <c r="A3766" t="s">
        <v>655</v>
      </c>
      <c r="B3766" t="s">
        <v>35</v>
      </c>
      <c r="E3766" s="3">
        <f>HYPERLINK("https://sao.dolgi.msk.ru/account/1404204389/", 1404204389)</f>
        <v>1404204389</v>
      </c>
      <c r="F3766">
        <v>-1756.38</v>
      </c>
    </row>
    <row r="3767" spans="1:6" hidden="1" x14ac:dyDescent="0.25">
      <c r="A3767" t="s">
        <v>655</v>
      </c>
      <c r="B3767" t="s">
        <v>36</v>
      </c>
      <c r="E3767" s="3">
        <f>HYPERLINK("https://sao.dolgi.msk.ru/account/1404205314/", 1404205314)</f>
        <v>1404205314</v>
      </c>
      <c r="F3767">
        <v>-1622.35</v>
      </c>
    </row>
    <row r="3768" spans="1:6" hidden="1" x14ac:dyDescent="0.25">
      <c r="A3768" t="s">
        <v>655</v>
      </c>
      <c r="B3768" t="s">
        <v>37</v>
      </c>
      <c r="E3768" s="3">
        <f>HYPERLINK("https://sao.dolgi.msk.ru/account/1404205322/", 1404205322)</f>
        <v>1404205322</v>
      </c>
      <c r="F3768">
        <v>-1608.48</v>
      </c>
    </row>
    <row r="3769" spans="1:6" x14ac:dyDescent="0.25">
      <c r="A3769" t="s">
        <v>655</v>
      </c>
      <c r="B3769" t="s">
        <v>38</v>
      </c>
      <c r="C3769" s="5" t="str">
        <f>" кв. "&amp;B3769</f>
        <v xml:space="preserve"> кв. 34</v>
      </c>
      <c r="D3769" s="5" t="str">
        <f>CONCATENATE(A3769,C3769)</f>
        <v>Валдайский пр., дом 4 кв. 34</v>
      </c>
      <c r="E3769" s="3">
        <f>HYPERLINK("https://sao.dolgi.msk.ru/account/1404204397/", 1404204397)</f>
        <v>1404204397</v>
      </c>
      <c r="F3769">
        <v>1198.78</v>
      </c>
    </row>
    <row r="3770" spans="1:6" hidden="1" x14ac:dyDescent="0.25">
      <c r="A3770" t="s">
        <v>655</v>
      </c>
      <c r="B3770" t="s">
        <v>39</v>
      </c>
      <c r="E3770" s="3">
        <f>HYPERLINK("https://sao.dolgi.msk.ru/account/1404204418/", 1404204418)</f>
        <v>1404204418</v>
      </c>
      <c r="F3770">
        <v>-984.49</v>
      </c>
    </row>
    <row r="3771" spans="1:6" hidden="1" x14ac:dyDescent="0.25">
      <c r="A3771" t="s">
        <v>655</v>
      </c>
      <c r="B3771" t="s">
        <v>40</v>
      </c>
      <c r="E3771" s="3">
        <f>HYPERLINK("https://sao.dolgi.msk.ru/account/1404204565/", 1404204565)</f>
        <v>1404204565</v>
      </c>
      <c r="F3771">
        <v>-1502.18</v>
      </c>
    </row>
    <row r="3772" spans="1:6" hidden="1" x14ac:dyDescent="0.25">
      <c r="A3772" t="s">
        <v>655</v>
      </c>
      <c r="B3772" t="s">
        <v>41</v>
      </c>
      <c r="E3772" s="3">
        <f>HYPERLINK("https://sao.dolgi.msk.ru/account/1404205349/", 1404205349)</f>
        <v>1404205349</v>
      </c>
      <c r="F3772">
        <v>-2056.8200000000002</v>
      </c>
    </row>
    <row r="3773" spans="1:6" x14ac:dyDescent="0.25">
      <c r="A3773" t="s">
        <v>655</v>
      </c>
      <c r="B3773" t="s">
        <v>42</v>
      </c>
      <c r="C3773" s="5" t="str">
        <f>" кв. "&amp;B3773</f>
        <v xml:space="preserve"> кв. 38</v>
      </c>
      <c r="D3773" s="5" t="str">
        <f>CONCATENATE(A3773,C3773)</f>
        <v>Валдайский пр., дом 4 кв. 38</v>
      </c>
      <c r="E3773" s="3">
        <f>HYPERLINK("https://sao.dolgi.msk.ru/account/1404204573/", 1404204573)</f>
        <v>1404204573</v>
      </c>
      <c r="F3773">
        <v>602.54999999999995</v>
      </c>
    </row>
    <row r="3774" spans="1:6" hidden="1" x14ac:dyDescent="0.25">
      <c r="A3774" t="s">
        <v>655</v>
      </c>
      <c r="B3774" t="s">
        <v>43</v>
      </c>
      <c r="E3774" s="3">
        <f>HYPERLINK("https://sao.dolgi.msk.ru/account/1404204995/", 1404204995)</f>
        <v>1404204995</v>
      </c>
      <c r="F3774">
        <v>-1613.52</v>
      </c>
    </row>
    <row r="3775" spans="1:6" x14ac:dyDescent="0.25">
      <c r="A3775" t="s">
        <v>655</v>
      </c>
      <c r="B3775" t="s">
        <v>44</v>
      </c>
      <c r="C3775" s="5" t="str">
        <f t="shared" ref="C3775:C3776" si="176">" кв. "&amp;B3775</f>
        <v xml:space="preserve"> кв. 40</v>
      </c>
      <c r="D3775" s="5" t="str">
        <f>CONCATENATE(A3775,C3775)</f>
        <v>Валдайский пр., дом 4 кв. 40</v>
      </c>
      <c r="E3775" s="3">
        <f>HYPERLINK("https://sao.dolgi.msk.ru/account/1404204733/", 1404204733)</f>
        <v>1404204733</v>
      </c>
      <c r="F3775">
        <v>1094.4000000000001</v>
      </c>
    </row>
    <row r="3776" spans="1:6" x14ac:dyDescent="0.25">
      <c r="A3776" t="s">
        <v>655</v>
      </c>
      <c r="B3776" t="s">
        <v>45</v>
      </c>
      <c r="C3776" s="5" t="str">
        <f t="shared" si="176"/>
        <v xml:space="preserve"> кв. 41</v>
      </c>
      <c r="D3776" s="5" t="str">
        <f>CONCATENATE(A3776,C3776)</f>
        <v>Валдайский пр., дом 4 кв. 41</v>
      </c>
      <c r="E3776" s="3">
        <f>HYPERLINK("https://sao.dolgi.msk.ru/account/1404204864/", 1404204864)</f>
        <v>1404204864</v>
      </c>
      <c r="F3776">
        <v>1097.56</v>
      </c>
    </row>
    <row r="3777" spans="1:6" hidden="1" x14ac:dyDescent="0.25">
      <c r="A3777" t="s">
        <v>655</v>
      </c>
      <c r="B3777" t="s">
        <v>46</v>
      </c>
      <c r="E3777" s="3">
        <f>HYPERLINK("https://sao.dolgi.msk.ru/account/1404205154/", 1404205154)</f>
        <v>1404205154</v>
      </c>
      <c r="F3777">
        <v>-1479.16</v>
      </c>
    </row>
    <row r="3778" spans="1:6" hidden="1" x14ac:dyDescent="0.25">
      <c r="A3778" t="s">
        <v>655</v>
      </c>
      <c r="B3778" t="s">
        <v>47</v>
      </c>
      <c r="E3778" s="3">
        <f>HYPERLINK("https://sao.dolgi.msk.ru/account/1404204426/", 1404204426)</f>
        <v>1404204426</v>
      </c>
      <c r="F3778">
        <v>-975.25</v>
      </c>
    </row>
    <row r="3779" spans="1:6" hidden="1" x14ac:dyDescent="0.25">
      <c r="A3779" t="s">
        <v>655</v>
      </c>
      <c r="B3779" t="s">
        <v>48</v>
      </c>
      <c r="E3779" s="3">
        <f>HYPERLINK("https://sao.dolgi.msk.ru/account/1404204741/", 1404204741)</f>
        <v>1404204741</v>
      </c>
      <c r="F3779">
        <v>-1268.98</v>
      </c>
    </row>
    <row r="3780" spans="1:6" hidden="1" x14ac:dyDescent="0.25">
      <c r="A3780" t="s">
        <v>655</v>
      </c>
      <c r="B3780" t="s">
        <v>49</v>
      </c>
      <c r="E3780" s="3">
        <f>HYPERLINK("https://sao.dolgi.msk.ru/account/1404205357/", 1404205357)</f>
        <v>1404205357</v>
      </c>
      <c r="F3780">
        <v>-1792.96</v>
      </c>
    </row>
    <row r="3781" spans="1:6" hidden="1" x14ac:dyDescent="0.25">
      <c r="A3781" t="s">
        <v>655</v>
      </c>
      <c r="B3781" t="s">
        <v>50</v>
      </c>
      <c r="E3781" s="3">
        <f>HYPERLINK("https://sao.dolgi.msk.ru/account/1404205365/", 1404205365)</f>
        <v>1404205365</v>
      </c>
      <c r="F3781">
        <v>-1761</v>
      </c>
    </row>
    <row r="3782" spans="1:6" hidden="1" x14ac:dyDescent="0.25">
      <c r="A3782" t="s">
        <v>655</v>
      </c>
      <c r="B3782" t="s">
        <v>51</v>
      </c>
      <c r="E3782" s="3">
        <f>HYPERLINK("https://sao.dolgi.msk.ru/account/1404204768/", 1404204768)</f>
        <v>1404204768</v>
      </c>
      <c r="F3782">
        <v>0</v>
      </c>
    </row>
    <row r="3783" spans="1:6" x14ac:dyDescent="0.25">
      <c r="A3783" t="s">
        <v>655</v>
      </c>
      <c r="B3783" t="s">
        <v>52</v>
      </c>
      <c r="C3783" s="5" t="str">
        <f t="shared" ref="C3783:C3784" si="177">" кв. "&amp;B3783</f>
        <v xml:space="preserve"> кв. 48</v>
      </c>
      <c r="D3783" s="5" t="str">
        <f>CONCATENATE(A3783,C3783)</f>
        <v>Валдайский пр., дом 4 кв. 48</v>
      </c>
      <c r="E3783" s="3">
        <f>HYPERLINK("https://sao.dolgi.msk.ru/account/1404204696/", 1404204696)</f>
        <v>1404204696</v>
      </c>
      <c r="F3783">
        <v>1110.21</v>
      </c>
    </row>
    <row r="3784" spans="1:6" x14ac:dyDescent="0.25">
      <c r="A3784" t="s">
        <v>655</v>
      </c>
      <c r="B3784" t="s">
        <v>53</v>
      </c>
      <c r="C3784" s="5" t="str">
        <f t="shared" si="177"/>
        <v xml:space="preserve"> кв. 49</v>
      </c>
      <c r="D3784" s="5" t="str">
        <f>CONCATENATE(A3784,C3784)</f>
        <v>Валдайский пр., дом 4 кв. 49</v>
      </c>
      <c r="E3784" s="3">
        <f>HYPERLINK("https://sao.dolgi.msk.ru/account/1404204274/", 1404204274)</f>
        <v>1404204274</v>
      </c>
      <c r="F3784">
        <v>1097.56</v>
      </c>
    </row>
    <row r="3785" spans="1:6" hidden="1" x14ac:dyDescent="0.25">
      <c r="A3785" t="s">
        <v>655</v>
      </c>
      <c r="B3785" t="s">
        <v>54</v>
      </c>
      <c r="E3785" s="3">
        <f>HYPERLINK("https://sao.dolgi.msk.ru/account/1404205402/", 1404205402)</f>
        <v>1404205402</v>
      </c>
      <c r="F3785">
        <v>0</v>
      </c>
    </row>
    <row r="3786" spans="1:6" x14ac:dyDescent="0.25">
      <c r="A3786" t="s">
        <v>655</v>
      </c>
      <c r="B3786" t="s">
        <v>55</v>
      </c>
      <c r="C3786" s="5" t="str">
        <f>" кв. "&amp;B3786</f>
        <v xml:space="preserve"> кв. 51</v>
      </c>
      <c r="D3786" s="5" t="str">
        <f>CONCATENATE(A3786,C3786)</f>
        <v>Валдайский пр., дом 4 кв. 51</v>
      </c>
      <c r="E3786" s="3">
        <f>HYPERLINK("https://sao.dolgi.msk.ru/account/1404205015/", 1404205015)</f>
        <v>1404205015</v>
      </c>
      <c r="F3786">
        <v>1214.5899999999999</v>
      </c>
    </row>
    <row r="3787" spans="1:6" hidden="1" x14ac:dyDescent="0.25">
      <c r="A3787" t="s">
        <v>655</v>
      </c>
      <c r="B3787" t="s">
        <v>56</v>
      </c>
      <c r="E3787" s="3">
        <f>HYPERLINK("https://sao.dolgi.msk.ru/account/1404204151/", 1404204151)</f>
        <v>1404204151</v>
      </c>
      <c r="F3787">
        <v>-1525.29</v>
      </c>
    </row>
    <row r="3788" spans="1:6" hidden="1" x14ac:dyDescent="0.25">
      <c r="A3788" t="s">
        <v>655</v>
      </c>
      <c r="B3788" t="s">
        <v>57</v>
      </c>
      <c r="E3788" s="3">
        <f>HYPERLINK("https://sao.dolgi.msk.ru/account/1404204637/", 1404204637)</f>
        <v>1404204637</v>
      </c>
      <c r="F3788">
        <v>0</v>
      </c>
    </row>
    <row r="3789" spans="1:6" hidden="1" x14ac:dyDescent="0.25">
      <c r="A3789" t="s">
        <v>655</v>
      </c>
      <c r="B3789" t="s">
        <v>58</v>
      </c>
      <c r="E3789" s="3">
        <f>HYPERLINK("https://sao.dolgi.msk.ru/account/1404205429/", 1404205429)</f>
        <v>1404205429</v>
      </c>
      <c r="F3789">
        <v>0</v>
      </c>
    </row>
    <row r="3790" spans="1:6" hidden="1" x14ac:dyDescent="0.25">
      <c r="A3790" t="s">
        <v>655</v>
      </c>
      <c r="B3790" t="s">
        <v>59</v>
      </c>
      <c r="E3790" s="3">
        <f>HYPERLINK("https://sao.dolgi.msk.ru/account/1404204178/", 1404204178)</f>
        <v>1404204178</v>
      </c>
      <c r="F3790">
        <v>0</v>
      </c>
    </row>
    <row r="3791" spans="1:6" x14ac:dyDescent="0.25">
      <c r="A3791" t="s">
        <v>655</v>
      </c>
      <c r="B3791" t="s">
        <v>60</v>
      </c>
      <c r="C3791" s="5" t="str">
        <f t="shared" ref="C3791:C3792" si="178">" кв. "&amp;B3791</f>
        <v xml:space="preserve"> кв. 56</v>
      </c>
      <c r="D3791" s="5" t="str">
        <f>CONCATENATE(A3791,C3791)</f>
        <v>Валдайский пр., дом 4 кв. 56</v>
      </c>
      <c r="E3791" s="3">
        <f>HYPERLINK("https://sao.dolgi.msk.ru/account/1404205023/", 1404205023)</f>
        <v>1404205023</v>
      </c>
      <c r="F3791">
        <v>588.30999999999995</v>
      </c>
    </row>
    <row r="3792" spans="1:6" x14ac:dyDescent="0.25">
      <c r="A3792" t="s">
        <v>655</v>
      </c>
      <c r="B3792" t="s">
        <v>61</v>
      </c>
      <c r="C3792" s="5" t="str">
        <f t="shared" si="178"/>
        <v xml:space="preserve"> кв. 57</v>
      </c>
      <c r="D3792" s="5" t="str">
        <f>CONCATENATE(A3792,C3792)</f>
        <v>Валдайский пр., дом 4 кв. 57</v>
      </c>
      <c r="E3792" s="3">
        <f>HYPERLINK("https://sao.dolgi.msk.ru/account/1404205437/", 1404205437)</f>
        <v>1404205437</v>
      </c>
      <c r="F3792">
        <v>1094.4000000000001</v>
      </c>
    </row>
    <row r="3793" spans="1:6" hidden="1" x14ac:dyDescent="0.25">
      <c r="A3793" t="s">
        <v>655</v>
      </c>
      <c r="B3793" t="s">
        <v>62</v>
      </c>
      <c r="E3793" s="3">
        <f>HYPERLINK("https://sao.dolgi.msk.ru/account/1404204186/", 1404204186)</f>
        <v>1404204186</v>
      </c>
      <c r="F3793">
        <v>-762.23</v>
      </c>
    </row>
    <row r="3794" spans="1:6" x14ac:dyDescent="0.25">
      <c r="A3794" t="s">
        <v>655</v>
      </c>
      <c r="B3794" t="s">
        <v>63</v>
      </c>
      <c r="C3794" s="5" t="str">
        <f>" кв. "&amp;B3794</f>
        <v xml:space="preserve"> кв. 59</v>
      </c>
      <c r="D3794" s="5" t="str">
        <f>CONCATENATE(A3794,C3794)</f>
        <v>Валдайский пр., дом 4 кв. 59</v>
      </c>
      <c r="E3794" s="3">
        <f>HYPERLINK("https://sao.dolgi.msk.ru/account/1404205031/", 1404205031)</f>
        <v>1404205031</v>
      </c>
      <c r="F3794">
        <v>1227.24</v>
      </c>
    </row>
    <row r="3795" spans="1:6" hidden="1" x14ac:dyDescent="0.25">
      <c r="A3795" t="s">
        <v>655</v>
      </c>
      <c r="B3795" t="s">
        <v>64</v>
      </c>
      <c r="E3795" s="3">
        <f>HYPERLINK("https://sao.dolgi.msk.ru/account/1404204928/", 1404204928)</f>
        <v>1404204928</v>
      </c>
      <c r="F3795">
        <v>-1520.67</v>
      </c>
    </row>
    <row r="3796" spans="1:6" x14ac:dyDescent="0.25">
      <c r="A3796" t="s">
        <v>655</v>
      </c>
      <c r="B3796" t="s">
        <v>65</v>
      </c>
      <c r="C3796" s="5" t="str">
        <f>" кв. "&amp;B3796</f>
        <v xml:space="preserve"> кв. 61</v>
      </c>
      <c r="D3796" s="5" t="str">
        <f>CONCATENATE(A3796,C3796)</f>
        <v>Валдайский пр., дом 4 кв. 61</v>
      </c>
      <c r="E3796" s="3">
        <f>HYPERLINK("https://sao.dolgi.msk.ru/account/1404204784/", 1404204784)</f>
        <v>1404204784</v>
      </c>
      <c r="F3796">
        <v>1413.86</v>
      </c>
    </row>
    <row r="3797" spans="1:6" hidden="1" x14ac:dyDescent="0.25">
      <c r="A3797" t="s">
        <v>655</v>
      </c>
      <c r="B3797" t="s">
        <v>66</v>
      </c>
      <c r="E3797" s="3">
        <f>HYPERLINK("https://sao.dolgi.msk.ru/account/1404204485/", 1404204485)</f>
        <v>1404204485</v>
      </c>
      <c r="F3797">
        <v>-1026.0999999999999</v>
      </c>
    </row>
    <row r="3798" spans="1:6" hidden="1" x14ac:dyDescent="0.25">
      <c r="A3798" t="s">
        <v>655</v>
      </c>
      <c r="B3798" t="s">
        <v>67</v>
      </c>
      <c r="E3798" s="3">
        <f>HYPERLINK("https://sao.dolgi.msk.ru/account/1404204194/", 1404204194)</f>
        <v>1404204194</v>
      </c>
      <c r="F3798">
        <v>-1770.25</v>
      </c>
    </row>
    <row r="3799" spans="1:6" hidden="1" x14ac:dyDescent="0.25">
      <c r="A3799" t="s">
        <v>655</v>
      </c>
      <c r="B3799" t="s">
        <v>68</v>
      </c>
      <c r="E3799" s="3">
        <f>HYPERLINK("https://sao.dolgi.msk.ru/account/1404204207/", 1404204207)</f>
        <v>1404204207</v>
      </c>
      <c r="F3799">
        <v>-5895.68</v>
      </c>
    </row>
    <row r="3800" spans="1:6" hidden="1" x14ac:dyDescent="0.25">
      <c r="A3800" t="s">
        <v>655</v>
      </c>
      <c r="B3800" t="s">
        <v>69</v>
      </c>
      <c r="E3800" s="3">
        <f>HYPERLINK("https://sao.dolgi.msk.ru/account/1404204215/", 1404204215)</f>
        <v>1404204215</v>
      </c>
      <c r="F3800">
        <v>0</v>
      </c>
    </row>
    <row r="3801" spans="1:6" x14ac:dyDescent="0.25">
      <c r="A3801" t="s">
        <v>655</v>
      </c>
      <c r="B3801" t="s">
        <v>70</v>
      </c>
      <c r="C3801" s="5" t="str">
        <f>" кв. "&amp;B3801</f>
        <v xml:space="preserve"> кв. 66</v>
      </c>
      <c r="D3801" s="5" t="str">
        <f>CONCATENATE(A3801,C3801)</f>
        <v>Валдайский пр., дом 4 кв. 66</v>
      </c>
      <c r="E3801" s="3">
        <f>HYPERLINK("https://sao.dolgi.msk.ru/account/1404205453/", 1404205453)</f>
        <v>1404205453</v>
      </c>
      <c r="F3801">
        <v>708.51</v>
      </c>
    </row>
    <row r="3802" spans="1:6" hidden="1" x14ac:dyDescent="0.25">
      <c r="A3802" t="s">
        <v>655</v>
      </c>
      <c r="B3802" t="s">
        <v>71</v>
      </c>
      <c r="E3802" s="3">
        <f>HYPERLINK("https://sao.dolgi.msk.ru/account/1404204653/", 1404204653)</f>
        <v>1404204653</v>
      </c>
      <c r="F3802">
        <v>-1021.48</v>
      </c>
    </row>
    <row r="3803" spans="1:6" hidden="1" x14ac:dyDescent="0.25">
      <c r="A3803" t="s">
        <v>655</v>
      </c>
      <c r="B3803" t="s">
        <v>72</v>
      </c>
      <c r="E3803" s="3">
        <f>HYPERLINK("https://sao.dolgi.msk.ru/account/1404204936/", 1404204936)</f>
        <v>1404204936</v>
      </c>
      <c r="F3803">
        <v>-1506.8</v>
      </c>
    </row>
    <row r="3804" spans="1:6" hidden="1" x14ac:dyDescent="0.25">
      <c r="A3804" t="s">
        <v>655</v>
      </c>
      <c r="B3804" t="s">
        <v>73</v>
      </c>
      <c r="E3804" s="3">
        <f>HYPERLINK("https://sao.dolgi.msk.ru/account/1404204661/", 1404204661)</f>
        <v>1404204661</v>
      </c>
      <c r="F3804">
        <v>-2066.06</v>
      </c>
    </row>
    <row r="3805" spans="1:6" hidden="1" x14ac:dyDescent="0.25">
      <c r="A3805" t="s">
        <v>655</v>
      </c>
      <c r="B3805" t="s">
        <v>74</v>
      </c>
      <c r="E3805" s="3">
        <f>HYPERLINK("https://sao.dolgi.msk.ru/account/1404205488/", 1404205488)</f>
        <v>1404205488</v>
      </c>
      <c r="F3805">
        <v>-1506.42</v>
      </c>
    </row>
    <row r="3806" spans="1:6" hidden="1" x14ac:dyDescent="0.25">
      <c r="A3806" t="s">
        <v>655</v>
      </c>
      <c r="B3806" t="s">
        <v>75</v>
      </c>
      <c r="E3806" s="3">
        <f>HYPERLINK("https://sao.dolgi.msk.ru/account/1404205218/", 1404205218)</f>
        <v>1404205218</v>
      </c>
      <c r="F3806">
        <v>-1774.87</v>
      </c>
    </row>
    <row r="3807" spans="1:6" x14ac:dyDescent="0.25">
      <c r="A3807" t="s">
        <v>655</v>
      </c>
      <c r="B3807" t="s">
        <v>76</v>
      </c>
      <c r="C3807" s="5" t="str">
        <f>" кв. "&amp;B3807</f>
        <v xml:space="preserve"> кв. 72</v>
      </c>
      <c r="D3807" s="5" t="str">
        <f>CONCATENATE(A3807,C3807)</f>
        <v>Валдайский пр., дом 4 кв. 72</v>
      </c>
      <c r="E3807" s="3">
        <f>HYPERLINK("https://sao.dolgi.msk.ru/account/1404204944/", 1404204944)</f>
        <v>1404204944</v>
      </c>
      <c r="F3807">
        <v>1103.8900000000001</v>
      </c>
    </row>
    <row r="3808" spans="1:6" hidden="1" x14ac:dyDescent="0.25">
      <c r="A3808" t="s">
        <v>655</v>
      </c>
      <c r="B3808" t="s">
        <v>77</v>
      </c>
      <c r="E3808" s="3">
        <f>HYPERLINK("https://sao.dolgi.msk.ru/account/1404205496/", 1404205496)</f>
        <v>1404205496</v>
      </c>
      <c r="F3808">
        <v>-1585.37</v>
      </c>
    </row>
    <row r="3809" spans="1:6" hidden="1" x14ac:dyDescent="0.25">
      <c r="A3809" t="s">
        <v>655</v>
      </c>
      <c r="B3809" t="s">
        <v>78</v>
      </c>
      <c r="E3809" s="3">
        <f>HYPERLINK("https://sao.dolgi.msk.ru/account/1404204821/", 1404204821)</f>
        <v>1404204821</v>
      </c>
      <c r="F3809">
        <v>-1793.36</v>
      </c>
    </row>
    <row r="3810" spans="1:6" hidden="1" x14ac:dyDescent="0.25">
      <c r="A3810" t="s">
        <v>655</v>
      </c>
      <c r="B3810" t="s">
        <v>79</v>
      </c>
      <c r="E3810" s="3">
        <f>HYPERLINK("https://sao.dolgi.msk.ru/account/1404204514/", 1404204514)</f>
        <v>1404204514</v>
      </c>
      <c r="F3810">
        <v>-1765.63</v>
      </c>
    </row>
    <row r="3811" spans="1:6" hidden="1" x14ac:dyDescent="0.25">
      <c r="A3811" t="s">
        <v>655</v>
      </c>
      <c r="B3811" t="s">
        <v>80</v>
      </c>
      <c r="E3811" s="3">
        <f>HYPERLINK("https://sao.dolgi.msk.ru/account/1404205197/", 1404205197)</f>
        <v>1404205197</v>
      </c>
      <c r="F3811">
        <v>-474.2</v>
      </c>
    </row>
    <row r="3812" spans="1:6" hidden="1" x14ac:dyDescent="0.25">
      <c r="A3812" t="s">
        <v>655</v>
      </c>
      <c r="B3812" t="s">
        <v>81</v>
      </c>
      <c r="E3812" s="3">
        <f>HYPERLINK("https://sao.dolgi.msk.ru/account/1404205189/", 1404205189)</f>
        <v>1404205189</v>
      </c>
      <c r="F3812">
        <v>-2052.19</v>
      </c>
    </row>
    <row r="3813" spans="1:6" hidden="1" x14ac:dyDescent="0.25">
      <c r="A3813" t="s">
        <v>655</v>
      </c>
      <c r="B3813" t="s">
        <v>82</v>
      </c>
      <c r="E3813" s="3">
        <f>HYPERLINK("https://sao.dolgi.msk.ru/account/1404204899/", 1404204899)</f>
        <v>1404204899</v>
      </c>
      <c r="F3813">
        <v>-785.34</v>
      </c>
    </row>
    <row r="3814" spans="1:6" hidden="1" x14ac:dyDescent="0.25">
      <c r="A3814" t="s">
        <v>655</v>
      </c>
      <c r="B3814" t="s">
        <v>83</v>
      </c>
      <c r="E3814" s="3">
        <f>HYPERLINK("https://sao.dolgi.msk.ru/account/1404205373/", 1404205373)</f>
        <v>1404205373</v>
      </c>
      <c r="F3814">
        <v>-882.82</v>
      </c>
    </row>
    <row r="3815" spans="1:6" hidden="1" x14ac:dyDescent="0.25">
      <c r="A3815" t="s">
        <v>655</v>
      </c>
      <c r="B3815" t="s">
        <v>84</v>
      </c>
      <c r="E3815" s="3">
        <f>HYPERLINK("https://sao.dolgi.msk.ru/account/1404204143/", 1404204143)</f>
        <v>1404204143</v>
      </c>
      <c r="F3815">
        <v>-1603.86</v>
      </c>
    </row>
    <row r="3816" spans="1:6" hidden="1" x14ac:dyDescent="0.25">
      <c r="A3816" t="s">
        <v>655</v>
      </c>
      <c r="B3816" t="s">
        <v>85</v>
      </c>
      <c r="E3816" s="3">
        <f>HYPERLINK("https://sao.dolgi.msk.ru/account/1404205381/", 1404205381)</f>
        <v>1404205381</v>
      </c>
      <c r="F3816">
        <v>-2327.8200000000002</v>
      </c>
    </row>
    <row r="3817" spans="1:6" hidden="1" x14ac:dyDescent="0.25">
      <c r="A3817" t="s">
        <v>655</v>
      </c>
      <c r="B3817" t="s">
        <v>86</v>
      </c>
      <c r="E3817" s="3">
        <f>HYPERLINK("https://sao.dolgi.msk.ru/account/1404205007/", 1404205007)</f>
        <v>1404205007</v>
      </c>
      <c r="F3817">
        <v>0</v>
      </c>
    </row>
    <row r="3818" spans="1:6" hidden="1" x14ac:dyDescent="0.25">
      <c r="A3818" t="s">
        <v>655</v>
      </c>
      <c r="B3818" t="s">
        <v>87</v>
      </c>
      <c r="E3818" s="3">
        <f>HYPERLINK("https://sao.dolgi.msk.ru/account/1404204629/", 1404204629)</f>
        <v>1404204629</v>
      </c>
      <c r="F3818">
        <v>-1784.12</v>
      </c>
    </row>
    <row r="3819" spans="1:6" hidden="1" x14ac:dyDescent="0.25">
      <c r="A3819" t="s">
        <v>655</v>
      </c>
      <c r="B3819" t="s">
        <v>88</v>
      </c>
      <c r="E3819" s="3">
        <f>HYPERLINK("https://sao.dolgi.msk.ru/account/1404204469/", 1404204469)</f>
        <v>1404204469</v>
      </c>
      <c r="F3819">
        <v>-1506.8</v>
      </c>
    </row>
    <row r="3820" spans="1:6" hidden="1" x14ac:dyDescent="0.25">
      <c r="A3820" t="s">
        <v>655</v>
      </c>
      <c r="B3820" t="s">
        <v>89</v>
      </c>
      <c r="E3820" s="3">
        <f>HYPERLINK("https://sao.dolgi.msk.ru/account/1404204901/", 1404204901)</f>
        <v>1404204901</v>
      </c>
      <c r="F3820">
        <v>-2075.31</v>
      </c>
    </row>
    <row r="3821" spans="1:6" x14ac:dyDescent="0.25">
      <c r="A3821" t="s">
        <v>655</v>
      </c>
      <c r="B3821" t="s">
        <v>90</v>
      </c>
      <c r="C3821" s="5" t="str">
        <f t="shared" ref="C3821:C3822" si="179">" кв. "&amp;B3821</f>
        <v xml:space="preserve"> кв. 86</v>
      </c>
      <c r="D3821" s="5" t="str">
        <f>CONCATENATE(A3821,C3821)</f>
        <v>Валдайский пр., дом 4 кв. 86</v>
      </c>
      <c r="E3821" s="3">
        <f>HYPERLINK("https://sao.dolgi.msk.ru/account/1404204231/", 1404204231)</f>
        <v>1404204231</v>
      </c>
      <c r="F3821">
        <v>1227.24</v>
      </c>
    </row>
    <row r="3822" spans="1:6" x14ac:dyDescent="0.25">
      <c r="A3822" t="s">
        <v>655</v>
      </c>
      <c r="B3822" t="s">
        <v>91</v>
      </c>
      <c r="C3822" s="5" t="str">
        <f t="shared" si="179"/>
        <v xml:space="preserve"> кв. 87</v>
      </c>
      <c r="D3822" s="5" t="str">
        <f>CONCATENATE(A3822,C3822)</f>
        <v>Валдайский пр., дом 4 кв. 87</v>
      </c>
      <c r="E3822" s="3">
        <f>HYPERLINK("https://sao.dolgi.msk.ru/account/1404204258/", 1404204258)</f>
        <v>1404204258</v>
      </c>
      <c r="F3822">
        <v>1224.08</v>
      </c>
    </row>
    <row r="3823" spans="1:6" hidden="1" x14ac:dyDescent="0.25">
      <c r="A3823" t="s">
        <v>655</v>
      </c>
      <c r="B3823" t="s">
        <v>92</v>
      </c>
      <c r="E3823" s="3">
        <f>HYPERLINK("https://sao.dolgi.msk.ru/account/1404204688/", 1404204688)</f>
        <v>1404204688</v>
      </c>
      <c r="F3823">
        <v>0</v>
      </c>
    </row>
    <row r="3824" spans="1:6" hidden="1" x14ac:dyDescent="0.25">
      <c r="A3824" t="s">
        <v>655</v>
      </c>
      <c r="B3824" t="s">
        <v>93</v>
      </c>
      <c r="E3824" s="3">
        <f>HYPERLINK("https://sao.dolgi.msk.ru/account/1404205226/", 1404205226)</f>
        <v>1404205226</v>
      </c>
      <c r="F3824">
        <v>-1640.83</v>
      </c>
    </row>
    <row r="3825" spans="1:6" hidden="1" x14ac:dyDescent="0.25">
      <c r="A3825" t="s">
        <v>655</v>
      </c>
      <c r="B3825" t="s">
        <v>94</v>
      </c>
      <c r="E3825" s="3">
        <f>HYPERLINK("https://sao.dolgi.msk.ru/account/1404204098/", 1404204098)</f>
        <v>1404204098</v>
      </c>
      <c r="F3825">
        <v>-1802.61</v>
      </c>
    </row>
    <row r="3826" spans="1:6" hidden="1" x14ac:dyDescent="0.25">
      <c r="A3826" t="s">
        <v>655</v>
      </c>
      <c r="B3826" t="s">
        <v>95</v>
      </c>
      <c r="E3826" s="3">
        <f>HYPERLINK("https://sao.dolgi.msk.ru/account/1404205234/", 1404205234)</f>
        <v>1404205234</v>
      </c>
      <c r="F3826">
        <v>-1506.42</v>
      </c>
    </row>
    <row r="3827" spans="1:6" hidden="1" x14ac:dyDescent="0.25">
      <c r="A3827" t="s">
        <v>655</v>
      </c>
      <c r="B3827" t="s">
        <v>96</v>
      </c>
      <c r="E3827" s="3">
        <f>HYPERLINK("https://sao.dolgi.msk.ru/account/1404205242/", 1404205242)</f>
        <v>1404205242</v>
      </c>
      <c r="F3827">
        <v>-1511.42</v>
      </c>
    </row>
    <row r="3828" spans="1:6" hidden="1" x14ac:dyDescent="0.25">
      <c r="A3828" t="s">
        <v>655</v>
      </c>
      <c r="B3828" t="s">
        <v>97</v>
      </c>
      <c r="E3828" s="3">
        <f>HYPERLINK("https://sao.dolgi.msk.ru/account/1404205269/", 1404205269)</f>
        <v>1404205269</v>
      </c>
      <c r="F3828">
        <v>-410</v>
      </c>
    </row>
    <row r="3829" spans="1:6" hidden="1" x14ac:dyDescent="0.25">
      <c r="A3829" t="s">
        <v>655</v>
      </c>
      <c r="B3829" t="s">
        <v>98</v>
      </c>
      <c r="E3829" s="3">
        <f>HYPERLINK("https://sao.dolgi.msk.ru/account/1404204119/", 1404204119)</f>
        <v>1404204119</v>
      </c>
      <c r="F3829">
        <v>-1793.36</v>
      </c>
    </row>
    <row r="3830" spans="1:6" hidden="1" x14ac:dyDescent="0.25">
      <c r="A3830" t="s">
        <v>655</v>
      </c>
      <c r="B3830" t="s">
        <v>99</v>
      </c>
      <c r="E3830" s="3">
        <f>HYPERLINK("https://sao.dolgi.msk.ru/account/1404204266/", 1404204266)</f>
        <v>1404204266</v>
      </c>
      <c r="F3830">
        <v>-885.12</v>
      </c>
    </row>
    <row r="3831" spans="1:6" hidden="1" x14ac:dyDescent="0.25">
      <c r="A3831" t="s">
        <v>655</v>
      </c>
      <c r="B3831" t="s">
        <v>100</v>
      </c>
      <c r="E3831" s="3">
        <f>HYPERLINK("https://sao.dolgi.msk.ru/account/1404204434/", 1404204434)</f>
        <v>1404204434</v>
      </c>
      <c r="F3831">
        <v>0</v>
      </c>
    </row>
    <row r="3832" spans="1:6" hidden="1" x14ac:dyDescent="0.25">
      <c r="A3832" t="s">
        <v>655</v>
      </c>
      <c r="B3832" t="s">
        <v>101</v>
      </c>
      <c r="E3832" s="3">
        <f>HYPERLINK("https://sao.dolgi.msk.ru/account/1404204602/", 1404204602)</f>
        <v>1404204602</v>
      </c>
      <c r="F3832">
        <v>-1613.11</v>
      </c>
    </row>
    <row r="3833" spans="1:6" hidden="1" x14ac:dyDescent="0.25">
      <c r="A3833" t="s">
        <v>655</v>
      </c>
      <c r="B3833" t="s">
        <v>102</v>
      </c>
      <c r="E3833" s="3">
        <f>HYPERLINK("https://sao.dolgi.msk.ru/account/1404205162/", 1404205162)</f>
        <v>1404205162</v>
      </c>
      <c r="F3833">
        <v>-968.93</v>
      </c>
    </row>
    <row r="3834" spans="1:6" hidden="1" x14ac:dyDescent="0.25">
      <c r="A3834" t="s">
        <v>655</v>
      </c>
      <c r="B3834" t="s">
        <v>103</v>
      </c>
      <c r="E3834" s="3">
        <f>HYPERLINK("https://sao.dolgi.msk.ru/account/1404204442/", 1404204442)</f>
        <v>1404204442</v>
      </c>
      <c r="F3834">
        <v>-1788.74</v>
      </c>
    </row>
    <row r="3835" spans="1:6" hidden="1" x14ac:dyDescent="0.25">
      <c r="A3835" t="s">
        <v>655</v>
      </c>
      <c r="B3835" t="s">
        <v>104</v>
      </c>
      <c r="E3835" s="3">
        <f>HYPERLINK("https://sao.dolgi.msk.ru/account/1404204493/", 1404204493)</f>
        <v>1404204493</v>
      </c>
      <c r="F3835">
        <v>0</v>
      </c>
    </row>
    <row r="3836" spans="1:6" hidden="1" x14ac:dyDescent="0.25">
      <c r="A3836" t="s">
        <v>655</v>
      </c>
      <c r="B3836" t="s">
        <v>105</v>
      </c>
      <c r="E3836" s="3">
        <f>HYPERLINK("https://sao.dolgi.msk.ru/account/1404205058/", 1404205058)</f>
        <v>1404205058</v>
      </c>
      <c r="F3836">
        <v>0</v>
      </c>
    </row>
    <row r="3837" spans="1:6" x14ac:dyDescent="0.25">
      <c r="A3837" t="s">
        <v>655</v>
      </c>
      <c r="B3837" t="s">
        <v>106</v>
      </c>
      <c r="C3837" s="5" t="str">
        <f t="shared" ref="C3837:C3838" si="180">" кв. "&amp;B3837</f>
        <v xml:space="preserve"> кв. 102</v>
      </c>
      <c r="D3837" s="5" t="str">
        <f>CONCATENATE(A3837,C3837)</f>
        <v>Валдайский пр., дом 4 кв. 102</v>
      </c>
      <c r="E3837" s="3">
        <f>HYPERLINK("https://sao.dolgi.msk.ru/account/1404204223/", 1404204223)</f>
        <v>1404204223</v>
      </c>
      <c r="F3837">
        <v>1224.08</v>
      </c>
    </row>
    <row r="3838" spans="1:6" x14ac:dyDescent="0.25">
      <c r="A3838" t="s">
        <v>655</v>
      </c>
      <c r="B3838" t="s">
        <v>107</v>
      </c>
      <c r="C3838" s="5" t="str">
        <f t="shared" si="180"/>
        <v xml:space="preserve"> кв. 103</v>
      </c>
      <c r="D3838" s="5" t="str">
        <f>CONCATENATE(A3838,C3838)</f>
        <v>Валдайский пр., дом 4 кв. 103</v>
      </c>
      <c r="E3838" s="3">
        <f>HYPERLINK("https://sao.dolgi.msk.ru/account/1404204813/", 1404204813)</f>
        <v>1404204813</v>
      </c>
      <c r="F3838">
        <v>1217.76</v>
      </c>
    </row>
    <row r="3839" spans="1:6" hidden="1" x14ac:dyDescent="0.25">
      <c r="A3839" t="s">
        <v>655</v>
      </c>
      <c r="B3839" t="s">
        <v>108</v>
      </c>
      <c r="E3839" s="3">
        <f>HYPERLINK("https://sao.dolgi.msk.ru/account/1404204506/", 1404204506)</f>
        <v>1404204506</v>
      </c>
      <c r="F3839">
        <v>-509.22</v>
      </c>
    </row>
    <row r="3840" spans="1:6" hidden="1" x14ac:dyDescent="0.25">
      <c r="A3840" t="s">
        <v>655</v>
      </c>
      <c r="B3840" t="s">
        <v>109</v>
      </c>
      <c r="E3840" s="3">
        <f>HYPERLINK("https://sao.dolgi.msk.ru/account/1404205066/", 1404205066)</f>
        <v>1404205066</v>
      </c>
      <c r="F3840">
        <v>-1617.73</v>
      </c>
    </row>
    <row r="3841" spans="1:6" hidden="1" x14ac:dyDescent="0.25">
      <c r="A3841" t="s">
        <v>655</v>
      </c>
      <c r="B3841" t="s">
        <v>110</v>
      </c>
      <c r="E3841" s="3">
        <f>HYPERLINK("https://sao.dolgi.msk.ru/account/1404204282/", 1404204282)</f>
        <v>1404204282</v>
      </c>
      <c r="F3841">
        <v>0</v>
      </c>
    </row>
    <row r="3842" spans="1:6" x14ac:dyDescent="0.25">
      <c r="A3842" t="s">
        <v>655</v>
      </c>
      <c r="B3842" t="s">
        <v>111</v>
      </c>
      <c r="C3842" s="5" t="str">
        <f>" кв. "&amp;B3842</f>
        <v xml:space="preserve"> кв. 107</v>
      </c>
      <c r="D3842" s="5" t="str">
        <f>CONCATENATE(A3842,C3842)</f>
        <v>Валдайский пр., дом 4 кв. 107</v>
      </c>
      <c r="E3842" s="3">
        <f>HYPERLINK("https://sao.dolgi.msk.ru/account/1404204522/", 1404204522)</f>
        <v>1404204522</v>
      </c>
      <c r="F3842">
        <v>1227.24</v>
      </c>
    </row>
    <row r="3843" spans="1:6" hidden="1" x14ac:dyDescent="0.25">
      <c r="A3843" t="s">
        <v>655</v>
      </c>
      <c r="B3843" t="s">
        <v>112</v>
      </c>
      <c r="E3843" s="3">
        <f>HYPERLINK("https://sao.dolgi.msk.ru/account/1404204549/", 1404204549)</f>
        <v>1404204549</v>
      </c>
      <c r="F3843">
        <v>-1497.55</v>
      </c>
    </row>
    <row r="3844" spans="1:6" hidden="1" x14ac:dyDescent="0.25">
      <c r="A3844" t="s">
        <v>655</v>
      </c>
      <c r="B3844" t="s">
        <v>113</v>
      </c>
      <c r="E3844" s="3">
        <f>HYPERLINK("https://sao.dolgi.msk.ru/account/1404204303/", 1404204303)</f>
        <v>1404204303</v>
      </c>
      <c r="F3844">
        <v>-1728.27</v>
      </c>
    </row>
    <row r="3845" spans="1:6" x14ac:dyDescent="0.25">
      <c r="A3845" t="s">
        <v>655</v>
      </c>
      <c r="B3845" t="s">
        <v>114</v>
      </c>
      <c r="C3845" s="5" t="str">
        <f>" кв. "&amp;B3845</f>
        <v xml:space="preserve"> кв. 110</v>
      </c>
      <c r="D3845" s="5" t="str">
        <f>CONCATENATE(A3845,C3845)</f>
        <v>Валдайский пр., дом 4 кв. 110</v>
      </c>
      <c r="E3845" s="3">
        <f>HYPERLINK("https://sao.dolgi.msk.ru/account/1404205277/", 1404205277)</f>
        <v>1404205277</v>
      </c>
      <c r="F3845">
        <v>1233.57</v>
      </c>
    </row>
    <row r="3846" spans="1:6" hidden="1" x14ac:dyDescent="0.25">
      <c r="A3846" t="s">
        <v>655</v>
      </c>
      <c r="B3846" t="s">
        <v>115</v>
      </c>
      <c r="E3846" s="3">
        <f>HYPERLINK("https://sao.dolgi.msk.ru/account/1404204311/", 1404204311)</f>
        <v>1404204311</v>
      </c>
      <c r="F3846">
        <v>-1026.0999999999999</v>
      </c>
    </row>
    <row r="3847" spans="1:6" hidden="1" x14ac:dyDescent="0.25">
      <c r="A3847" t="s">
        <v>655</v>
      </c>
      <c r="B3847" t="s">
        <v>116</v>
      </c>
      <c r="E3847" s="3">
        <f>HYPERLINK("https://sao.dolgi.msk.ru/account/1404204127/", 1404204127)</f>
        <v>1404204127</v>
      </c>
      <c r="F3847">
        <v>-1585.37</v>
      </c>
    </row>
    <row r="3848" spans="1:6" hidden="1" x14ac:dyDescent="0.25">
      <c r="A3848" t="s">
        <v>656</v>
      </c>
      <c r="B3848" t="s">
        <v>12</v>
      </c>
      <c r="E3848" s="3">
        <f>HYPERLINK("https://sao.dolgi.msk.ru/account/1404108098/", 1404108098)</f>
        <v>1404108098</v>
      </c>
      <c r="F3848">
        <v>-1874.75</v>
      </c>
    </row>
    <row r="3849" spans="1:6" hidden="1" x14ac:dyDescent="0.25">
      <c r="A3849" t="s">
        <v>656</v>
      </c>
      <c r="B3849" t="s">
        <v>13</v>
      </c>
      <c r="E3849" s="3">
        <f>HYPERLINK("https://sao.dolgi.msk.ru/account/1404108434/", 1404108434)</f>
        <v>1404108434</v>
      </c>
      <c r="F3849">
        <v>-4989.8999999999996</v>
      </c>
    </row>
    <row r="3850" spans="1:6" hidden="1" x14ac:dyDescent="0.25">
      <c r="A3850" t="s">
        <v>656</v>
      </c>
      <c r="B3850" t="s">
        <v>14</v>
      </c>
      <c r="E3850" s="3">
        <f>HYPERLINK("https://sao.dolgi.msk.ru/account/1404107706/", 1404107706)</f>
        <v>1404107706</v>
      </c>
      <c r="F3850">
        <v>-6708.47</v>
      </c>
    </row>
    <row r="3851" spans="1:6" hidden="1" x14ac:dyDescent="0.25">
      <c r="A3851" t="s">
        <v>656</v>
      </c>
      <c r="B3851" t="s">
        <v>15</v>
      </c>
      <c r="E3851" s="3">
        <f>HYPERLINK("https://sao.dolgi.msk.ru/account/1404108733/", 1404108733)</f>
        <v>1404108733</v>
      </c>
      <c r="F3851">
        <v>-4152.07</v>
      </c>
    </row>
    <row r="3852" spans="1:6" hidden="1" x14ac:dyDescent="0.25">
      <c r="A3852" t="s">
        <v>656</v>
      </c>
      <c r="B3852" t="s">
        <v>16</v>
      </c>
      <c r="E3852" s="3">
        <f>HYPERLINK("https://sao.dolgi.msk.ru/account/1404107714/", 1404107714)</f>
        <v>1404107714</v>
      </c>
      <c r="F3852">
        <v>-3675.05</v>
      </c>
    </row>
    <row r="3853" spans="1:6" hidden="1" x14ac:dyDescent="0.25">
      <c r="A3853" t="s">
        <v>656</v>
      </c>
      <c r="B3853" t="s">
        <v>17</v>
      </c>
      <c r="E3853" s="3">
        <f>HYPERLINK("https://sao.dolgi.msk.ru/account/1404107888/", 1404107888)</f>
        <v>1404107888</v>
      </c>
      <c r="F3853">
        <v>-3796.47</v>
      </c>
    </row>
    <row r="3854" spans="1:6" hidden="1" x14ac:dyDescent="0.25">
      <c r="A3854" t="s">
        <v>656</v>
      </c>
      <c r="B3854" t="s">
        <v>18</v>
      </c>
      <c r="E3854" s="3">
        <f>HYPERLINK("https://sao.dolgi.msk.ru/account/1404108135/", 1404108135)</f>
        <v>1404108135</v>
      </c>
      <c r="F3854">
        <v>-3593.08</v>
      </c>
    </row>
    <row r="3855" spans="1:6" hidden="1" x14ac:dyDescent="0.25">
      <c r="A3855" t="s">
        <v>656</v>
      </c>
      <c r="B3855" t="s">
        <v>19</v>
      </c>
      <c r="E3855" s="3">
        <f>HYPERLINK("https://sao.dolgi.msk.ru/account/1404108477/", 1404108477)</f>
        <v>1404108477</v>
      </c>
      <c r="F3855">
        <v>0</v>
      </c>
    </row>
    <row r="3856" spans="1:6" hidden="1" x14ac:dyDescent="0.25">
      <c r="A3856" t="s">
        <v>656</v>
      </c>
      <c r="B3856" t="s">
        <v>20</v>
      </c>
      <c r="E3856" s="3">
        <f>HYPERLINK("https://sao.dolgi.msk.ru/account/1404107896/", 1404107896)</f>
        <v>1404107896</v>
      </c>
      <c r="F3856">
        <v>0</v>
      </c>
    </row>
    <row r="3857" spans="1:6" hidden="1" x14ac:dyDescent="0.25">
      <c r="A3857" t="s">
        <v>656</v>
      </c>
      <c r="B3857" t="s">
        <v>21</v>
      </c>
      <c r="E3857" s="3">
        <f>HYPERLINK("https://sao.dolgi.msk.ru/account/1404108311/", 1404108311)</f>
        <v>1404108311</v>
      </c>
      <c r="F3857">
        <v>-1042.52</v>
      </c>
    </row>
    <row r="3858" spans="1:6" hidden="1" x14ac:dyDescent="0.25">
      <c r="A3858" t="s">
        <v>656</v>
      </c>
      <c r="B3858" t="s">
        <v>22</v>
      </c>
      <c r="E3858" s="3">
        <f>HYPERLINK("https://sao.dolgi.msk.ru/account/1404108485/", 1404108485)</f>
        <v>1404108485</v>
      </c>
      <c r="F3858">
        <v>-2858.32</v>
      </c>
    </row>
    <row r="3859" spans="1:6" hidden="1" x14ac:dyDescent="0.25">
      <c r="A3859" t="s">
        <v>656</v>
      </c>
      <c r="B3859" t="s">
        <v>23</v>
      </c>
      <c r="E3859" s="3">
        <f>HYPERLINK("https://sao.dolgi.msk.ru/account/1404107909/", 1404107909)</f>
        <v>1404107909</v>
      </c>
      <c r="F3859">
        <v>-8739.75</v>
      </c>
    </row>
    <row r="3860" spans="1:6" hidden="1" x14ac:dyDescent="0.25">
      <c r="A3860" t="s">
        <v>656</v>
      </c>
      <c r="B3860" t="s">
        <v>24</v>
      </c>
      <c r="E3860" s="3">
        <f>HYPERLINK("https://sao.dolgi.msk.ru/account/1404107992/", 1404107992)</f>
        <v>1404107992</v>
      </c>
      <c r="F3860">
        <v>-5116.01</v>
      </c>
    </row>
    <row r="3861" spans="1:6" hidden="1" x14ac:dyDescent="0.25">
      <c r="A3861" t="s">
        <v>656</v>
      </c>
      <c r="B3861" t="s">
        <v>25</v>
      </c>
      <c r="E3861" s="3">
        <f>HYPERLINK("https://sao.dolgi.msk.ru/account/1404108004/", 1404108004)</f>
        <v>1404108004</v>
      </c>
      <c r="F3861">
        <v>-5003.29</v>
      </c>
    </row>
    <row r="3862" spans="1:6" hidden="1" x14ac:dyDescent="0.25">
      <c r="A3862" t="s">
        <v>656</v>
      </c>
      <c r="B3862" t="s">
        <v>26</v>
      </c>
      <c r="E3862" s="3">
        <f>HYPERLINK("https://sao.dolgi.msk.ru/account/1404107722/", 1404107722)</f>
        <v>1404107722</v>
      </c>
      <c r="F3862">
        <v>-3978.79</v>
      </c>
    </row>
    <row r="3863" spans="1:6" hidden="1" x14ac:dyDescent="0.25">
      <c r="A3863" t="s">
        <v>656</v>
      </c>
      <c r="B3863" t="s">
        <v>27</v>
      </c>
      <c r="E3863" s="3">
        <f>HYPERLINK("https://sao.dolgi.msk.ru/account/1404108493/", 1404108493)</f>
        <v>1404108493</v>
      </c>
      <c r="F3863">
        <v>-5493.02</v>
      </c>
    </row>
    <row r="3864" spans="1:6" hidden="1" x14ac:dyDescent="0.25">
      <c r="A3864" t="s">
        <v>656</v>
      </c>
      <c r="B3864" t="s">
        <v>28</v>
      </c>
      <c r="E3864" s="3">
        <f>HYPERLINK("https://sao.dolgi.msk.ru/account/1404108741/", 1404108741)</f>
        <v>1404108741</v>
      </c>
      <c r="F3864">
        <v>-646.37</v>
      </c>
    </row>
    <row r="3865" spans="1:6" hidden="1" x14ac:dyDescent="0.25">
      <c r="A3865" t="s">
        <v>656</v>
      </c>
      <c r="B3865" t="s">
        <v>29</v>
      </c>
      <c r="E3865" s="3">
        <f>HYPERLINK("https://sao.dolgi.msk.ru/account/1404107749/", 1404107749)</f>
        <v>1404107749</v>
      </c>
      <c r="F3865">
        <v>-4026.53</v>
      </c>
    </row>
    <row r="3866" spans="1:6" hidden="1" x14ac:dyDescent="0.25">
      <c r="A3866" t="s">
        <v>656</v>
      </c>
      <c r="B3866" t="s">
        <v>30</v>
      </c>
      <c r="E3866" s="3">
        <f>HYPERLINK("https://sao.dolgi.msk.ru/account/1404108338/", 1404108338)</f>
        <v>1404108338</v>
      </c>
      <c r="F3866">
        <v>0</v>
      </c>
    </row>
    <row r="3867" spans="1:6" hidden="1" x14ac:dyDescent="0.25">
      <c r="A3867" t="s">
        <v>656</v>
      </c>
      <c r="B3867" t="s">
        <v>31</v>
      </c>
      <c r="E3867" s="3">
        <f>HYPERLINK("https://sao.dolgi.msk.ru/account/1404107757/", 1404107757)</f>
        <v>1404107757</v>
      </c>
      <c r="F3867">
        <v>-2140.39</v>
      </c>
    </row>
    <row r="3868" spans="1:6" hidden="1" x14ac:dyDescent="0.25">
      <c r="A3868" t="s">
        <v>656</v>
      </c>
      <c r="B3868" t="s">
        <v>32</v>
      </c>
      <c r="E3868" s="3">
        <f>HYPERLINK("https://sao.dolgi.msk.ru/account/1404108602/", 1404108602)</f>
        <v>1404108602</v>
      </c>
      <c r="F3868">
        <v>0</v>
      </c>
    </row>
    <row r="3869" spans="1:6" hidden="1" x14ac:dyDescent="0.25">
      <c r="A3869" t="s">
        <v>656</v>
      </c>
      <c r="B3869" t="s">
        <v>33</v>
      </c>
      <c r="E3869" s="3">
        <f>HYPERLINK("https://sao.dolgi.msk.ru/account/1404108768/", 1404108768)</f>
        <v>1404108768</v>
      </c>
      <c r="F3869">
        <v>-3238.69</v>
      </c>
    </row>
    <row r="3870" spans="1:6" hidden="1" x14ac:dyDescent="0.25">
      <c r="A3870" t="s">
        <v>656</v>
      </c>
      <c r="B3870" t="s">
        <v>34</v>
      </c>
      <c r="E3870" s="3">
        <f>HYPERLINK("https://sao.dolgi.msk.ru/account/1404108629/", 1404108629)</f>
        <v>1404108629</v>
      </c>
      <c r="F3870">
        <v>-5094.34</v>
      </c>
    </row>
    <row r="3871" spans="1:6" x14ac:dyDescent="0.25">
      <c r="A3871" t="s">
        <v>656</v>
      </c>
      <c r="B3871" t="s">
        <v>35</v>
      </c>
      <c r="C3871" s="5" t="str">
        <f>" кв. "&amp;B3871</f>
        <v xml:space="preserve"> кв. 31</v>
      </c>
      <c r="D3871" s="5" t="str">
        <f>CONCATENATE(A3871,C3871)</f>
        <v>Валдайский пр., дом 6 кв. 31</v>
      </c>
      <c r="E3871" s="3">
        <f>HYPERLINK("https://sao.dolgi.msk.ru/account/1404107917/", 1404107917)</f>
        <v>1404107917</v>
      </c>
      <c r="F3871">
        <v>36985.26</v>
      </c>
    </row>
    <row r="3872" spans="1:6" hidden="1" x14ac:dyDescent="0.25">
      <c r="A3872" t="s">
        <v>656</v>
      </c>
      <c r="B3872" t="s">
        <v>36</v>
      </c>
      <c r="E3872" s="3">
        <f>HYPERLINK("https://sao.dolgi.msk.ru/account/1404108637/", 1404108637)</f>
        <v>1404108637</v>
      </c>
      <c r="F3872">
        <v>-6516.56</v>
      </c>
    </row>
    <row r="3873" spans="1:6" hidden="1" x14ac:dyDescent="0.25">
      <c r="A3873" t="s">
        <v>656</v>
      </c>
      <c r="B3873" t="s">
        <v>37</v>
      </c>
      <c r="E3873" s="3">
        <f>HYPERLINK("https://sao.dolgi.msk.ru/account/1404108776/", 1404108776)</f>
        <v>1404108776</v>
      </c>
      <c r="F3873">
        <v>-3127.24</v>
      </c>
    </row>
    <row r="3874" spans="1:6" hidden="1" x14ac:dyDescent="0.25">
      <c r="A3874" t="s">
        <v>656</v>
      </c>
      <c r="B3874" t="s">
        <v>38</v>
      </c>
      <c r="E3874" s="3">
        <f>HYPERLINK("https://sao.dolgi.msk.ru/account/1404108645/", 1404108645)</f>
        <v>1404108645</v>
      </c>
      <c r="F3874">
        <v>-5006.8599999999997</v>
      </c>
    </row>
    <row r="3875" spans="1:6" hidden="1" x14ac:dyDescent="0.25">
      <c r="A3875" t="s">
        <v>656</v>
      </c>
      <c r="B3875" t="s">
        <v>39</v>
      </c>
      <c r="E3875" s="3">
        <f>HYPERLINK("https://sao.dolgi.msk.ru/account/1404108012/", 1404108012)</f>
        <v>1404108012</v>
      </c>
      <c r="F3875">
        <v>-2714.97</v>
      </c>
    </row>
    <row r="3876" spans="1:6" hidden="1" x14ac:dyDescent="0.25">
      <c r="A3876" t="s">
        <v>656</v>
      </c>
      <c r="B3876" t="s">
        <v>40</v>
      </c>
      <c r="E3876" s="3">
        <f>HYPERLINK("https://sao.dolgi.msk.ru/account/1404108506/", 1404108506)</f>
        <v>1404108506</v>
      </c>
      <c r="F3876">
        <v>0</v>
      </c>
    </row>
    <row r="3877" spans="1:6" hidden="1" x14ac:dyDescent="0.25">
      <c r="A3877" t="s">
        <v>656</v>
      </c>
      <c r="B3877" t="s">
        <v>41</v>
      </c>
      <c r="E3877" s="3">
        <f>HYPERLINK("https://sao.dolgi.msk.ru/account/1404108143/", 1404108143)</f>
        <v>1404108143</v>
      </c>
      <c r="F3877">
        <v>-4084.68</v>
      </c>
    </row>
    <row r="3878" spans="1:6" hidden="1" x14ac:dyDescent="0.25">
      <c r="A3878" t="s">
        <v>656</v>
      </c>
      <c r="B3878" t="s">
        <v>42</v>
      </c>
      <c r="E3878" s="3">
        <f>HYPERLINK("https://sao.dolgi.msk.ru/account/1404108346/", 1404108346)</f>
        <v>1404108346</v>
      </c>
      <c r="F3878">
        <v>-5378.72</v>
      </c>
    </row>
    <row r="3879" spans="1:6" hidden="1" x14ac:dyDescent="0.25">
      <c r="A3879" t="s">
        <v>656</v>
      </c>
      <c r="B3879" t="s">
        <v>43</v>
      </c>
      <c r="E3879" s="3">
        <f>HYPERLINK("https://sao.dolgi.msk.ru/account/1404108514/", 1404108514)</f>
        <v>1404108514</v>
      </c>
      <c r="F3879">
        <v>-3344.59</v>
      </c>
    </row>
    <row r="3880" spans="1:6" hidden="1" x14ac:dyDescent="0.25">
      <c r="A3880" t="s">
        <v>656</v>
      </c>
      <c r="B3880" t="s">
        <v>44</v>
      </c>
      <c r="E3880" s="3">
        <f>HYPERLINK("https://sao.dolgi.msk.ru/account/1404107925/", 1404107925)</f>
        <v>1404107925</v>
      </c>
      <c r="F3880">
        <v>-5289.99</v>
      </c>
    </row>
    <row r="3881" spans="1:6" hidden="1" x14ac:dyDescent="0.25">
      <c r="A3881" t="s">
        <v>656</v>
      </c>
      <c r="B3881" t="s">
        <v>45</v>
      </c>
      <c r="E3881" s="3">
        <f>HYPERLINK("https://sao.dolgi.msk.ru/account/1404108354/", 1404108354)</f>
        <v>1404108354</v>
      </c>
      <c r="F3881">
        <v>-1476.25</v>
      </c>
    </row>
    <row r="3882" spans="1:6" hidden="1" x14ac:dyDescent="0.25">
      <c r="A3882" t="s">
        <v>656</v>
      </c>
      <c r="B3882" t="s">
        <v>45</v>
      </c>
      <c r="E3882" s="3">
        <f>HYPERLINK("https://sao.dolgi.msk.ru/account/1404108725/", 1404108725)</f>
        <v>1404108725</v>
      </c>
      <c r="F3882">
        <v>-2454.13</v>
      </c>
    </row>
    <row r="3883" spans="1:6" hidden="1" x14ac:dyDescent="0.25">
      <c r="A3883" t="s">
        <v>656</v>
      </c>
      <c r="B3883" t="s">
        <v>46</v>
      </c>
      <c r="E3883" s="3">
        <f>HYPERLINK("https://sao.dolgi.msk.ru/account/1404108784/", 1404108784)</f>
        <v>1404108784</v>
      </c>
      <c r="F3883">
        <v>-202.77</v>
      </c>
    </row>
    <row r="3884" spans="1:6" hidden="1" x14ac:dyDescent="0.25">
      <c r="A3884" t="s">
        <v>656</v>
      </c>
      <c r="B3884" t="s">
        <v>47</v>
      </c>
      <c r="E3884" s="3">
        <f>HYPERLINK("https://sao.dolgi.msk.ru/account/1404108151/", 1404108151)</f>
        <v>1404108151</v>
      </c>
      <c r="F3884">
        <v>-5722.68</v>
      </c>
    </row>
    <row r="3885" spans="1:6" hidden="1" x14ac:dyDescent="0.25">
      <c r="A3885" t="s">
        <v>656</v>
      </c>
      <c r="B3885" t="s">
        <v>48</v>
      </c>
      <c r="E3885" s="3">
        <f>HYPERLINK("https://sao.dolgi.msk.ru/account/1404107765/", 1404107765)</f>
        <v>1404107765</v>
      </c>
      <c r="F3885">
        <v>-3912.55</v>
      </c>
    </row>
    <row r="3886" spans="1:6" hidden="1" x14ac:dyDescent="0.25">
      <c r="A3886" t="s">
        <v>656</v>
      </c>
      <c r="B3886" t="s">
        <v>49</v>
      </c>
      <c r="E3886" s="3">
        <f>HYPERLINK("https://sao.dolgi.msk.ru/account/1404108522/", 1404108522)</f>
        <v>1404108522</v>
      </c>
      <c r="F3886">
        <v>-10434.299999999999</v>
      </c>
    </row>
    <row r="3887" spans="1:6" hidden="1" x14ac:dyDescent="0.25">
      <c r="A3887" t="s">
        <v>656</v>
      </c>
      <c r="B3887" t="s">
        <v>50</v>
      </c>
      <c r="E3887" s="3">
        <f>HYPERLINK("https://sao.dolgi.msk.ru/account/1404108362/", 1404108362)</f>
        <v>1404108362</v>
      </c>
      <c r="F3887">
        <v>-1952.38</v>
      </c>
    </row>
    <row r="3888" spans="1:6" hidden="1" x14ac:dyDescent="0.25">
      <c r="A3888" t="s">
        <v>656</v>
      </c>
      <c r="B3888" t="s">
        <v>51</v>
      </c>
      <c r="E3888" s="3">
        <f>HYPERLINK("https://sao.dolgi.msk.ru/account/1404107933/", 1404107933)</f>
        <v>1404107933</v>
      </c>
      <c r="F3888">
        <v>-5339.54</v>
      </c>
    </row>
    <row r="3889" spans="1:6" hidden="1" x14ac:dyDescent="0.25">
      <c r="A3889" t="s">
        <v>656</v>
      </c>
      <c r="B3889" t="s">
        <v>52</v>
      </c>
      <c r="E3889" s="3">
        <f>HYPERLINK("https://sao.dolgi.msk.ru/account/1404107773/", 1404107773)</f>
        <v>1404107773</v>
      </c>
      <c r="F3889">
        <v>0</v>
      </c>
    </row>
    <row r="3890" spans="1:6" hidden="1" x14ac:dyDescent="0.25">
      <c r="A3890" t="s">
        <v>656</v>
      </c>
      <c r="B3890" t="s">
        <v>53</v>
      </c>
      <c r="E3890" s="3">
        <f>HYPERLINK("https://sao.dolgi.msk.ru/account/1404108039/", 1404108039)</f>
        <v>1404108039</v>
      </c>
      <c r="F3890">
        <v>0</v>
      </c>
    </row>
    <row r="3891" spans="1:6" hidden="1" x14ac:dyDescent="0.25">
      <c r="A3891" t="s">
        <v>656</v>
      </c>
      <c r="B3891" t="s">
        <v>54</v>
      </c>
      <c r="E3891" s="3">
        <f>HYPERLINK("https://sao.dolgi.msk.ru/account/1404108178/", 1404108178)</f>
        <v>1404108178</v>
      </c>
      <c r="F3891">
        <v>-2632.86</v>
      </c>
    </row>
    <row r="3892" spans="1:6" hidden="1" x14ac:dyDescent="0.25">
      <c r="A3892" t="s">
        <v>656</v>
      </c>
      <c r="B3892" t="s">
        <v>55</v>
      </c>
      <c r="E3892" s="3">
        <f>HYPERLINK("https://sao.dolgi.msk.ru/account/1404108653/", 1404108653)</f>
        <v>1404108653</v>
      </c>
      <c r="F3892">
        <v>-7351.24</v>
      </c>
    </row>
    <row r="3893" spans="1:6" hidden="1" x14ac:dyDescent="0.25">
      <c r="A3893" t="s">
        <v>656</v>
      </c>
      <c r="B3893" t="s">
        <v>56</v>
      </c>
      <c r="E3893" s="3">
        <f>HYPERLINK("https://sao.dolgi.msk.ru/account/1404108186/", 1404108186)</f>
        <v>1404108186</v>
      </c>
      <c r="F3893">
        <v>-6386.44</v>
      </c>
    </row>
    <row r="3894" spans="1:6" x14ac:dyDescent="0.25">
      <c r="A3894" t="s">
        <v>656</v>
      </c>
      <c r="B3894" t="s">
        <v>57</v>
      </c>
      <c r="C3894" s="5" t="str">
        <f t="shared" ref="C3894:C3895" si="181">" кв. "&amp;B3894</f>
        <v xml:space="preserve"> кв. 53</v>
      </c>
      <c r="D3894" s="5" t="str">
        <f>CONCATENATE(A3894,C3894)</f>
        <v>Валдайский пр., дом 6 кв. 53</v>
      </c>
      <c r="E3894" s="3">
        <f>HYPERLINK("https://sao.dolgi.msk.ru/account/1404108389/", 1404108389)</f>
        <v>1404108389</v>
      </c>
      <c r="F3894">
        <v>12.08</v>
      </c>
    </row>
    <row r="3895" spans="1:6" x14ac:dyDescent="0.25">
      <c r="A3895" t="s">
        <v>656</v>
      </c>
      <c r="B3895" t="s">
        <v>58</v>
      </c>
      <c r="C3895" s="5" t="str">
        <f t="shared" si="181"/>
        <v xml:space="preserve"> кв. 54</v>
      </c>
      <c r="D3895" s="5" t="str">
        <f>CONCATENATE(A3895,C3895)</f>
        <v>Валдайский пр., дом 6 кв. 54</v>
      </c>
      <c r="E3895" s="3">
        <f>HYPERLINK("https://sao.dolgi.msk.ru/account/1404108194/", 1404108194)</f>
        <v>1404108194</v>
      </c>
      <c r="F3895">
        <v>182.68</v>
      </c>
    </row>
    <row r="3896" spans="1:6" hidden="1" x14ac:dyDescent="0.25">
      <c r="A3896" t="s">
        <v>656</v>
      </c>
      <c r="B3896" t="s">
        <v>59</v>
      </c>
      <c r="E3896" s="3">
        <f>HYPERLINK("https://sao.dolgi.msk.ru/account/1404108207/", 1404108207)</f>
        <v>1404108207</v>
      </c>
      <c r="F3896">
        <v>-1030.6400000000001</v>
      </c>
    </row>
    <row r="3897" spans="1:6" hidden="1" x14ac:dyDescent="0.25">
      <c r="A3897" t="s">
        <v>656</v>
      </c>
      <c r="B3897" t="s">
        <v>60</v>
      </c>
      <c r="E3897" s="3">
        <f>HYPERLINK("https://sao.dolgi.msk.ru/account/1404108215/", 1404108215)</f>
        <v>1404108215</v>
      </c>
      <c r="F3897">
        <v>0</v>
      </c>
    </row>
    <row r="3898" spans="1:6" hidden="1" x14ac:dyDescent="0.25">
      <c r="A3898" t="s">
        <v>656</v>
      </c>
      <c r="B3898" t="s">
        <v>61</v>
      </c>
      <c r="E3898" s="3">
        <f>HYPERLINK("https://sao.dolgi.msk.ru/account/1404108223/", 1404108223)</f>
        <v>1404108223</v>
      </c>
      <c r="F3898">
        <v>-2058.2800000000002</v>
      </c>
    </row>
    <row r="3899" spans="1:6" hidden="1" x14ac:dyDescent="0.25">
      <c r="A3899" t="s">
        <v>656</v>
      </c>
      <c r="B3899" t="s">
        <v>62</v>
      </c>
      <c r="E3899" s="3">
        <f>HYPERLINK("https://sao.dolgi.msk.ru/account/1404108231/", 1404108231)</f>
        <v>1404108231</v>
      </c>
      <c r="F3899">
        <v>-5180.42</v>
      </c>
    </row>
    <row r="3900" spans="1:6" hidden="1" x14ac:dyDescent="0.25">
      <c r="A3900" t="s">
        <v>656</v>
      </c>
      <c r="B3900" t="s">
        <v>63</v>
      </c>
      <c r="E3900" s="3">
        <f>HYPERLINK("https://sao.dolgi.msk.ru/account/1404108258/", 1404108258)</f>
        <v>1404108258</v>
      </c>
      <c r="F3900">
        <v>-2596.8200000000002</v>
      </c>
    </row>
    <row r="3901" spans="1:6" hidden="1" x14ac:dyDescent="0.25">
      <c r="A3901" t="s">
        <v>656</v>
      </c>
      <c r="B3901" t="s">
        <v>64</v>
      </c>
      <c r="E3901" s="3">
        <f>HYPERLINK("https://sao.dolgi.msk.ru/account/1404108792/", 1404108792)</f>
        <v>1404108792</v>
      </c>
      <c r="F3901">
        <v>-4148.9399999999996</v>
      </c>
    </row>
    <row r="3902" spans="1:6" hidden="1" x14ac:dyDescent="0.25">
      <c r="A3902" t="s">
        <v>656</v>
      </c>
      <c r="B3902" t="s">
        <v>65</v>
      </c>
      <c r="E3902" s="3">
        <f>HYPERLINK("https://sao.dolgi.msk.ru/account/1404108127/", 1404108127)</f>
        <v>1404108127</v>
      </c>
      <c r="F3902">
        <v>0</v>
      </c>
    </row>
    <row r="3903" spans="1:6" hidden="1" x14ac:dyDescent="0.25">
      <c r="A3903" t="s">
        <v>656</v>
      </c>
      <c r="B3903" t="s">
        <v>65</v>
      </c>
      <c r="E3903" s="3">
        <f>HYPERLINK("https://sao.dolgi.msk.ru/account/1404108397/", 1404108397)</f>
        <v>1404108397</v>
      </c>
      <c r="F3903">
        <v>0</v>
      </c>
    </row>
    <row r="3904" spans="1:6" hidden="1" x14ac:dyDescent="0.25">
      <c r="A3904" t="s">
        <v>656</v>
      </c>
      <c r="B3904" t="s">
        <v>66</v>
      </c>
      <c r="E3904" s="3">
        <f>HYPERLINK("https://sao.dolgi.msk.ru/account/1404107781/", 1404107781)</f>
        <v>1404107781</v>
      </c>
      <c r="F3904">
        <v>0</v>
      </c>
    </row>
    <row r="3905" spans="1:6" hidden="1" x14ac:dyDescent="0.25">
      <c r="A3905" t="s">
        <v>656</v>
      </c>
      <c r="B3905" t="s">
        <v>67</v>
      </c>
      <c r="E3905" s="3">
        <f>HYPERLINK("https://sao.dolgi.msk.ru/account/1404107802/", 1404107802)</f>
        <v>1404107802</v>
      </c>
      <c r="F3905">
        <v>-6920.61</v>
      </c>
    </row>
    <row r="3906" spans="1:6" hidden="1" x14ac:dyDescent="0.25">
      <c r="A3906" t="s">
        <v>656</v>
      </c>
      <c r="B3906" t="s">
        <v>68</v>
      </c>
      <c r="E3906" s="3">
        <f>HYPERLINK("https://sao.dolgi.msk.ru/account/1404108047/", 1404108047)</f>
        <v>1404108047</v>
      </c>
      <c r="F3906">
        <v>-203.35</v>
      </c>
    </row>
    <row r="3907" spans="1:6" hidden="1" x14ac:dyDescent="0.25">
      <c r="A3907" t="s">
        <v>656</v>
      </c>
      <c r="B3907" t="s">
        <v>69</v>
      </c>
      <c r="E3907" s="3">
        <f>HYPERLINK("https://sao.dolgi.msk.ru/account/1404108266/", 1404108266)</f>
        <v>1404108266</v>
      </c>
      <c r="F3907">
        <v>0</v>
      </c>
    </row>
    <row r="3908" spans="1:6" hidden="1" x14ac:dyDescent="0.25">
      <c r="A3908" t="s">
        <v>656</v>
      </c>
      <c r="B3908" t="s">
        <v>70</v>
      </c>
      <c r="E3908" s="3">
        <f>HYPERLINK("https://sao.dolgi.msk.ru/account/1404108418/", 1404108418)</f>
        <v>1404108418</v>
      </c>
      <c r="F3908">
        <v>-12582.08</v>
      </c>
    </row>
    <row r="3909" spans="1:6" hidden="1" x14ac:dyDescent="0.25">
      <c r="A3909" t="s">
        <v>656</v>
      </c>
      <c r="B3909" t="s">
        <v>71</v>
      </c>
      <c r="E3909" s="3">
        <f>HYPERLINK("https://sao.dolgi.msk.ru/account/1404108805/", 1404108805)</f>
        <v>1404108805</v>
      </c>
      <c r="F3909">
        <v>-5809</v>
      </c>
    </row>
    <row r="3910" spans="1:6" hidden="1" x14ac:dyDescent="0.25">
      <c r="A3910" t="s">
        <v>656</v>
      </c>
      <c r="B3910" t="s">
        <v>72</v>
      </c>
      <c r="E3910" s="3">
        <f>HYPERLINK("https://sao.dolgi.msk.ru/account/1404108055/", 1404108055)</f>
        <v>1404108055</v>
      </c>
      <c r="F3910">
        <v>-4001.74</v>
      </c>
    </row>
    <row r="3911" spans="1:6" hidden="1" x14ac:dyDescent="0.25">
      <c r="A3911" t="s">
        <v>656</v>
      </c>
      <c r="B3911" t="s">
        <v>73</v>
      </c>
      <c r="E3911" s="3">
        <f>HYPERLINK("https://sao.dolgi.msk.ru/account/1404108661/", 1404108661)</f>
        <v>1404108661</v>
      </c>
      <c r="F3911">
        <v>0</v>
      </c>
    </row>
    <row r="3912" spans="1:6" hidden="1" x14ac:dyDescent="0.25">
      <c r="A3912" t="s">
        <v>656</v>
      </c>
      <c r="B3912" t="s">
        <v>74</v>
      </c>
      <c r="E3912" s="3">
        <f>HYPERLINK("https://sao.dolgi.msk.ru/account/1404108813/", 1404108813)</f>
        <v>1404108813</v>
      </c>
      <c r="F3912">
        <v>-3262.98</v>
      </c>
    </row>
    <row r="3913" spans="1:6" hidden="1" x14ac:dyDescent="0.25">
      <c r="A3913" t="s">
        <v>656</v>
      </c>
      <c r="B3913" t="s">
        <v>75</v>
      </c>
      <c r="E3913" s="3">
        <f>HYPERLINK("https://sao.dolgi.msk.ru/account/1404108063/", 1404108063)</f>
        <v>1404108063</v>
      </c>
      <c r="F3913">
        <v>-5263.15</v>
      </c>
    </row>
    <row r="3914" spans="1:6" hidden="1" x14ac:dyDescent="0.25">
      <c r="A3914" t="s">
        <v>656</v>
      </c>
      <c r="B3914" t="s">
        <v>76</v>
      </c>
      <c r="E3914" s="3">
        <f>HYPERLINK("https://sao.dolgi.msk.ru/account/1404108274/", 1404108274)</f>
        <v>1404108274</v>
      </c>
      <c r="F3914">
        <v>0</v>
      </c>
    </row>
    <row r="3915" spans="1:6" hidden="1" x14ac:dyDescent="0.25">
      <c r="A3915" t="s">
        <v>656</v>
      </c>
      <c r="B3915" t="s">
        <v>77</v>
      </c>
      <c r="E3915" s="3">
        <f>HYPERLINK("https://sao.dolgi.msk.ru/account/1404108688/", 1404108688)</f>
        <v>1404108688</v>
      </c>
      <c r="F3915">
        <v>-4233.16</v>
      </c>
    </row>
    <row r="3916" spans="1:6" hidden="1" x14ac:dyDescent="0.25">
      <c r="A3916" t="s">
        <v>656</v>
      </c>
      <c r="B3916" t="s">
        <v>78</v>
      </c>
      <c r="E3916" s="3">
        <f>HYPERLINK("https://sao.dolgi.msk.ru/account/1404108696/", 1404108696)</f>
        <v>1404108696</v>
      </c>
      <c r="F3916">
        <v>-2116.6</v>
      </c>
    </row>
    <row r="3917" spans="1:6" hidden="1" x14ac:dyDescent="0.25">
      <c r="A3917" t="s">
        <v>656</v>
      </c>
      <c r="B3917" t="s">
        <v>79</v>
      </c>
      <c r="E3917" s="3">
        <f>HYPERLINK("https://sao.dolgi.msk.ru/account/1404108071/", 1404108071)</f>
        <v>1404108071</v>
      </c>
      <c r="F3917">
        <v>0</v>
      </c>
    </row>
    <row r="3918" spans="1:6" hidden="1" x14ac:dyDescent="0.25">
      <c r="A3918" t="s">
        <v>656</v>
      </c>
      <c r="B3918" t="s">
        <v>80</v>
      </c>
      <c r="E3918" s="3">
        <f>HYPERLINK("https://sao.dolgi.msk.ru/account/1404108549/", 1404108549)</f>
        <v>1404108549</v>
      </c>
      <c r="F3918">
        <v>-11395.12</v>
      </c>
    </row>
    <row r="3919" spans="1:6" hidden="1" x14ac:dyDescent="0.25">
      <c r="A3919" t="s">
        <v>656</v>
      </c>
      <c r="B3919" t="s">
        <v>81</v>
      </c>
      <c r="E3919" s="3">
        <f>HYPERLINK("https://sao.dolgi.msk.ru/account/1404108709/", 1404108709)</f>
        <v>1404108709</v>
      </c>
      <c r="F3919">
        <v>-1929.29</v>
      </c>
    </row>
    <row r="3920" spans="1:6" hidden="1" x14ac:dyDescent="0.25">
      <c r="A3920" t="s">
        <v>656</v>
      </c>
      <c r="B3920" t="s">
        <v>82</v>
      </c>
      <c r="E3920" s="3">
        <f>HYPERLINK("https://sao.dolgi.msk.ru/account/1404107941/", 1404107941)</f>
        <v>1404107941</v>
      </c>
      <c r="F3920">
        <v>-3593.06</v>
      </c>
    </row>
    <row r="3921" spans="1:6" hidden="1" x14ac:dyDescent="0.25">
      <c r="A3921" t="s">
        <v>656</v>
      </c>
      <c r="B3921" t="s">
        <v>83</v>
      </c>
      <c r="E3921" s="3">
        <f>HYPERLINK("https://sao.dolgi.msk.ru/account/1404107829/", 1404107829)</f>
        <v>1404107829</v>
      </c>
      <c r="F3921">
        <v>-14273.92</v>
      </c>
    </row>
    <row r="3922" spans="1:6" hidden="1" x14ac:dyDescent="0.25">
      <c r="A3922" t="s">
        <v>656</v>
      </c>
      <c r="B3922" t="s">
        <v>84</v>
      </c>
      <c r="E3922" s="3">
        <f>HYPERLINK("https://sao.dolgi.msk.ru/account/1404107984/", 1404107984)</f>
        <v>1404107984</v>
      </c>
      <c r="F3922">
        <v>-3131.25</v>
      </c>
    </row>
    <row r="3923" spans="1:6" hidden="1" x14ac:dyDescent="0.25">
      <c r="A3923" t="s">
        <v>656</v>
      </c>
      <c r="B3923" t="s">
        <v>84</v>
      </c>
      <c r="E3923" s="3">
        <f>HYPERLINK("https://sao.dolgi.msk.ru/account/1404108821/", 1404108821)</f>
        <v>1404108821</v>
      </c>
      <c r="F3923">
        <v>-1240.52</v>
      </c>
    </row>
    <row r="3924" spans="1:6" hidden="1" x14ac:dyDescent="0.25">
      <c r="A3924" t="s">
        <v>656</v>
      </c>
      <c r="B3924" t="s">
        <v>85</v>
      </c>
      <c r="E3924" s="3">
        <f>HYPERLINK("https://sao.dolgi.msk.ru/account/1404107837/", 1404107837)</f>
        <v>1404107837</v>
      </c>
      <c r="F3924">
        <v>-185.48</v>
      </c>
    </row>
    <row r="3925" spans="1:6" hidden="1" x14ac:dyDescent="0.25">
      <c r="A3925" t="s">
        <v>656</v>
      </c>
      <c r="B3925" t="s">
        <v>86</v>
      </c>
      <c r="E3925" s="3">
        <f>HYPERLINK("https://sao.dolgi.msk.ru/account/1404108557/", 1404108557)</f>
        <v>1404108557</v>
      </c>
      <c r="F3925">
        <v>-3890.38</v>
      </c>
    </row>
    <row r="3926" spans="1:6" x14ac:dyDescent="0.25">
      <c r="A3926" t="s">
        <v>656</v>
      </c>
      <c r="B3926" t="s">
        <v>87</v>
      </c>
      <c r="C3926" s="5" t="str">
        <f>" кв. "&amp;B3926</f>
        <v xml:space="preserve"> кв. 83</v>
      </c>
      <c r="D3926" s="5" t="str">
        <f>CONCATENATE(A3926,C3926)</f>
        <v>Валдайский пр., дом 6 кв. 83</v>
      </c>
      <c r="E3926" s="3">
        <f>HYPERLINK("https://sao.dolgi.msk.ru/account/1404108119/", 1404108119)</f>
        <v>1404108119</v>
      </c>
      <c r="F3926">
        <v>2936.67</v>
      </c>
    </row>
    <row r="3927" spans="1:6" hidden="1" x14ac:dyDescent="0.25">
      <c r="A3927" t="s">
        <v>656</v>
      </c>
      <c r="B3927" t="s">
        <v>88</v>
      </c>
      <c r="E3927" s="3">
        <f>HYPERLINK("https://sao.dolgi.msk.ru/account/1404108282/", 1404108282)</f>
        <v>1404108282</v>
      </c>
      <c r="F3927">
        <v>-4358.17</v>
      </c>
    </row>
    <row r="3928" spans="1:6" hidden="1" x14ac:dyDescent="0.25">
      <c r="A3928" t="s">
        <v>656</v>
      </c>
      <c r="B3928" t="s">
        <v>89</v>
      </c>
      <c r="E3928" s="3">
        <f>HYPERLINK("https://sao.dolgi.msk.ru/account/1404107845/", 1404107845)</f>
        <v>1404107845</v>
      </c>
      <c r="F3928">
        <v>-4715.1499999999996</v>
      </c>
    </row>
    <row r="3929" spans="1:6" hidden="1" x14ac:dyDescent="0.25">
      <c r="A3929" t="s">
        <v>656</v>
      </c>
      <c r="B3929" t="s">
        <v>90</v>
      </c>
      <c r="E3929" s="3">
        <f>HYPERLINK("https://sao.dolgi.msk.ru/account/1404108303/", 1404108303)</f>
        <v>1404108303</v>
      </c>
      <c r="F3929">
        <v>-6028.19</v>
      </c>
    </row>
    <row r="3930" spans="1:6" hidden="1" x14ac:dyDescent="0.25">
      <c r="A3930" t="s">
        <v>656</v>
      </c>
      <c r="B3930" t="s">
        <v>91</v>
      </c>
      <c r="E3930" s="3">
        <f>HYPERLINK("https://sao.dolgi.msk.ru/account/1404107968/", 1404107968)</f>
        <v>1404107968</v>
      </c>
      <c r="F3930">
        <v>-5193.29</v>
      </c>
    </row>
    <row r="3931" spans="1:6" hidden="1" x14ac:dyDescent="0.25">
      <c r="A3931" t="s">
        <v>656</v>
      </c>
      <c r="B3931" t="s">
        <v>92</v>
      </c>
      <c r="E3931" s="3">
        <f>HYPERLINK("https://sao.dolgi.msk.ru/account/1404108848/", 1404108848)</f>
        <v>1404108848</v>
      </c>
      <c r="F3931">
        <v>-3839.37</v>
      </c>
    </row>
    <row r="3932" spans="1:6" hidden="1" x14ac:dyDescent="0.25">
      <c r="A3932" t="s">
        <v>656</v>
      </c>
      <c r="B3932" t="s">
        <v>93</v>
      </c>
      <c r="E3932" s="3">
        <f>HYPERLINK("https://sao.dolgi.msk.ru/account/1404108426/", 1404108426)</f>
        <v>1404108426</v>
      </c>
      <c r="F3932">
        <v>-3643.36</v>
      </c>
    </row>
    <row r="3933" spans="1:6" x14ac:dyDescent="0.25">
      <c r="A3933" t="s">
        <v>656</v>
      </c>
      <c r="B3933" t="s">
        <v>94</v>
      </c>
      <c r="C3933" s="5" t="str">
        <f>" кв. "&amp;B3933</f>
        <v xml:space="preserve"> кв. 90</v>
      </c>
      <c r="D3933" s="5" t="str">
        <f>CONCATENATE(A3933,C3933)</f>
        <v>Валдайский пр., дом 6 кв. 90</v>
      </c>
      <c r="E3933" s="3">
        <f>HYPERLINK("https://sao.dolgi.msk.ru/account/1404108442/", 1404108442)</f>
        <v>1404108442</v>
      </c>
      <c r="F3933">
        <v>14873.08</v>
      </c>
    </row>
    <row r="3934" spans="1:6" hidden="1" x14ac:dyDescent="0.25">
      <c r="A3934" t="s">
        <v>656</v>
      </c>
      <c r="B3934" t="s">
        <v>95</v>
      </c>
      <c r="E3934" s="3">
        <f>HYPERLINK("https://sao.dolgi.msk.ru/account/1404108856/", 1404108856)</f>
        <v>1404108856</v>
      </c>
      <c r="F3934">
        <v>-2746.27</v>
      </c>
    </row>
    <row r="3935" spans="1:6" hidden="1" x14ac:dyDescent="0.25">
      <c r="A3935" t="s">
        <v>656</v>
      </c>
      <c r="B3935" t="s">
        <v>96</v>
      </c>
      <c r="E3935" s="3">
        <f>HYPERLINK("https://sao.dolgi.msk.ru/account/1404107853/", 1404107853)</f>
        <v>1404107853</v>
      </c>
      <c r="F3935">
        <v>-2216.04</v>
      </c>
    </row>
    <row r="3936" spans="1:6" x14ac:dyDescent="0.25">
      <c r="A3936" t="s">
        <v>656</v>
      </c>
      <c r="B3936" t="s">
        <v>97</v>
      </c>
      <c r="C3936" s="5" t="str">
        <f>" кв. "&amp;B3936</f>
        <v xml:space="preserve"> кв. 93</v>
      </c>
      <c r="D3936" s="5" t="str">
        <f>CONCATENATE(A3936,C3936)</f>
        <v>Валдайский пр., дом 6 кв. 93</v>
      </c>
      <c r="E3936" s="3">
        <f>HYPERLINK("https://sao.dolgi.msk.ru/account/1404108565/", 1404108565)</f>
        <v>1404108565</v>
      </c>
      <c r="F3936">
        <v>106.88</v>
      </c>
    </row>
    <row r="3937" spans="1:6" hidden="1" x14ac:dyDescent="0.25">
      <c r="A3937" t="s">
        <v>656</v>
      </c>
      <c r="B3937" t="s">
        <v>98</v>
      </c>
      <c r="E3937" s="3">
        <f>HYPERLINK("https://sao.dolgi.msk.ru/account/1404108469/", 1404108469)</f>
        <v>1404108469</v>
      </c>
      <c r="F3937">
        <v>-1064.58</v>
      </c>
    </row>
    <row r="3938" spans="1:6" hidden="1" x14ac:dyDescent="0.25">
      <c r="A3938" t="s">
        <v>656</v>
      </c>
      <c r="B3938" t="s">
        <v>99</v>
      </c>
      <c r="E3938" s="3">
        <f>HYPERLINK("https://sao.dolgi.msk.ru/account/1404107861/", 1404107861)</f>
        <v>1404107861</v>
      </c>
      <c r="F3938">
        <v>-4267.3599999999997</v>
      </c>
    </row>
    <row r="3939" spans="1:6" hidden="1" x14ac:dyDescent="0.25">
      <c r="A3939" t="s">
        <v>656</v>
      </c>
      <c r="B3939" t="s">
        <v>100</v>
      </c>
      <c r="E3939" s="3">
        <f>HYPERLINK("https://sao.dolgi.msk.ru/account/1404108573/", 1404108573)</f>
        <v>1404108573</v>
      </c>
      <c r="F3939">
        <v>-2759.56</v>
      </c>
    </row>
    <row r="3940" spans="1:6" hidden="1" x14ac:dyDescent="0.25">
      <c r="A3940" t="s">
        <v>656</v>
      </c>
      <c r="B3940" t="s">
        <v>101</v>
      </c>
      <c r="E3940" s="3">
        <f>HYPERLINK("https://sao.dolgi.msk.ru/account/1404107976/", 1404107976)</f>
        <v>1404107976</v>
      </c>
      <c r="F3940">
        <v>-4277.05</v>
      </c>
    </row>
    <row r="3941" spans="1:6" hidden="1" x14ac:dyDescent="0.25">
      <c r="A3941" t="s">
        <v>656</v>
      </c>
      <c r="B3941" t="s">
        <v>102</v>
      </c>
      <c r="E3941" s="3">
        <f>HYPERLINK("https://sao.dolgi.msk.ru/account/1404108717/", 1404108717)</f>
        <v>1404108717</v>
      </c>
      <c r="F3941">
        <v>-5242.96</v>
      </c>
    </row>
    <row r="3942" spans="1:6" hidden="1" x14ac:dyDescent="0.25">
      <c r="A3942" t="s">
        <v>657</v>
      </c>
      <c r="B3942" t="s">
        <v>5</v>
      </c>
      <c r="E3942" s="3">
        <f>HYPERLINK("https://sao.dolgi.msk.ru/account/1404244815/", 1404244815)</f>
        <v>1404244815</v>
      </c>
      <c r="F3942">
        <v>-4201.47</v>
      </c>
    </row>
    <row r="3943" spans="1:6" hidden="1" x14ac:dyDescent="0.25">
      <c r="A3943" t="s">
        <v>657</v>
      </c>
      <c r="B3943" t="s">
        <v>6</v>
      </c>
      <c r="E3943" s="3">
        <f>HYPERLINK("https://sao.dolgi.msk.ru/account/1404243994/", 1404243994)</f>
        <v>1404243994</v>
      </c>
      <c r="F3943">
        <v>0</v>
      </c>
    </row>
    <row r="3944" spans="1:6" hidden="1" x14ac:dyDescent="0.25">
      <c r="A3944" t="s">
        <v>657</v>
      </c>
      <c r="B3944" t="s">
        <v>7</v>
      </c>
      <c r="E3944" s="3">
        <f>HYPERLINK("https://sao.dolgi.msk.ru/account/1404244284/", 1404244284)</f>
        <v>1404244284</v>
      </c>
      <c r="F3944">
        <v>-1654.69</v>
      </c>
    </row>
    <row r="3945" spans="1:6" hidden="1" x14ac:dyDescent="0.25">
      <c r="A3945" t="s">
        <v>657</v>
      </c>
      <c r="B3945" t="s">
        <v>8</v>
      </c>
      <c r="E3945" s="3">
        <f>HYPERLINK("https://sao.dolgi.msk.ru/account/1404245826/", 1404245826)</f>
        <v>1404245826</v>
      </c>
      <c r="F3945">
        <v>-2629.82</v>
      </c>
    </row>
    <row r="3946" spans="1:6" hidden="1" x14ac:dyDescent="0.25">
      <c r="A3946" t="s">
        <v>657</v>
      </c>
      <c r="B3946" t="s">
        <v>9</v>
      </c>
      <c r="E3946" s="3">
        <f>HYPERLINK("https://sao.dolgi.msk.ru/account/1404245244/", 1404245244)</f>
        <v>1404245244</v>
      </c>
      <c r="F3946">
        <v>0</v>
      </c>
    </row>
    <row r="3947" spans="1:6" x14ac:dyDescent="0.25">
      <c r="A3947" t="s">
        <v>657</v>
      </c>
      <c r="B3947" t="s">
        <v>10</v>
      </c>
      <c r="C3947" s="5" t="str">
        <f>" кв. "&amp;B3947</f>
        <v xml:space="preserve"> кв. 6</v>
      </c>
      <c r="D3947" s="5" t="str">
        <f>CONCATENATE(A3947,C3947)</f>
        <v>Валдайский пр., дом 9А к.1 кв. 6</v>
      </c>
      <c r="E3947" s="3">
        <f>HYPERLINK("https://sao.dolgi.msk.ru/account/1404243425/", 1404243425)</f>
        <v>1404243425</v>
      </c>
      <c r="F3947">
        <v>1132.3499999999999</v>
      </c>
    </row>
    <row r="3948" spans="1:6" hidden="1" x14ac:dyDescent="0.25">
      <c r="A3948" t="s">
        <v>657</v>
      </c>
      <c r="B3948" t="s">
        <v>11</v>
      </c>
      <c r="E3948" s="3">
        <f>HYPERLINK("https://sao.dolgi.msk.ru/account/1404245615/", 1404245615)</f>
        <v>1404245615</v>
      </c>
      <c r="F3948">
        <v>-1397.42</v>
      </c>
    </row>
    <row r="3949" spans="1:6" hidden="1" x14ac:dyDescent="0.25">
      <c r="A3949" t="s">
        <v>657</v>
      </c>
      <c r="B3949" t="s">
        <v>12</v>
      </c>
      <c r="E3949" s="3">
        <f>HYPERLINK("https://sao.dolgi.msk.ru/account/1404245746/", 1404245746)</f>
        <v>1404245746</v>
      </c>
      <c r="F3949">
        <v>-2833.98</v>
      </c>
    </row>
    <row r="3950" spans="1:6" hidden="1" x14ac:dyDescent="0.25">
      <c r="A3950" t="s">
        <v>657</v>
      </c>
      <c r="B3950" t="s">
        <v>12</v>
      </c>
      <c r="E3950" s="3">
        <f>HYPERLINK("https://sao.dolgi.msk.ru/account/1404245869/", 1404245869)</f>
        <v>1404245869</v>
      </c>
      <c r="F3950">
        <v>-1229.49</v>
      </c>
    </row>
    <row r="3951" spans="1:6" hidden="1" x14ac:dyDescent="0.25">
      <c r="A3951" t="s">
        <v>657</v>
      </c>
      <c r="B3951" t="s">
        <v>13</v>
      </c>
      <c r="E3951" s="3">
        <f>HYPERLINK("https://sao.dolgi.msk.ru/account/1404244997/", 1404244997)</f>
        <v>1404244997</v>
      </c>
      <c r="F3951">
        <v>-4201.47</v>
      </c>
    </row>
    <row r="3952" spans="1:6" hidden="1" x14ac:dyDescent="0.25">
      <c r="A3952" t="s">
        <v>657</v>
      </c>
      <c r="B3952" t="s">
        <v>14</v>
      </c>
      <c r="E3952" s="3">
        <f>HYPERLINK("https://sao.dolgi.msk.ru/account/1404244188/", 1404244188)</f>
        <v>1404244188</v>
      </c>
      <c r="F3952">
        <v>-1654.69</v>
      </c>
    </row>
    <row r="3953" spans="1:6" hidden="1" x14ac:dyDescent="0.25">
      <c r="A3953" t="s">
        <v>657</v>
      </c>
      <c r="B3953" t="s">
        <v>15</v>
      </c>
      <c r="E3953" s="3">
        <f>HYPERLINK("https://sao.dolgi.msk.ru/account/1404245113/", 1404245113)</f>
        <v>1404245113</v>
      </c>
      <c r="F3953">
        <v>0</v>
      </c>
    </row>
    <row r="3954" spans="1:6" x14ac:dyDescent="0.25">
      <c r="A3954" t="s">
        <v>657</v>
      </c>
      <c r="B3954" t="s">
        <v>16</v>
      </c>
      <c r="C3954" s="5" t="str">
        <f t="shared" ref="C3954:C3955" si="182">" кв. "&amp;B3954</f>
        <v xml:space="preserve"> кв. 12</v>
      </c>
      <c r="D3954" s="5" t="str">
        <f>CONCATENATE(A3954,C3954)</f>
        <v>Валдайский пр., дом 9А к.1 кв. 12</v>
      </c>
      <c r="E3954" s="3">
        <f>HYPERLINK("https://sao.dolgi.msk.ru/account/1404244495/", 1404244495)</f>
        <v>1404244495</v>
      </c>
      <c r="F3954">
        <v>293.52</v>
      </c>
    </row>
    <row r="3955" spans="1:6" x14ac:dyDescent="0.25">
      <c r="A3955" t="s">
        <v>657</v>
      </c>
      <c r="B3955" t="s">
        <v>16</v>
      </c>
      <c r="C3955" s="5" t="str">
        <f t="shared" si="182"/>
        <v xml:space="preserve"> кв. 12</v>
      </c>
      <c r="D3955" s="5" t="str">
        <f>CONCATENATE(A3955,C3955)</f>
        <v>Валдайский пр., дом 9А к.1 кв. 12</v>
      </c>
      <c r="E3955" s="3">
        <f>HYPERLINK("https://sao.dolgi.msk.ru/account/1404245834/", 1404245834)</f>
        <v>1404245834</v>
      </c>
      <c r="F3955">
        <v>2348.21</v>
      </c>
    </row>
    <row r="3956" spans="1:6" hidden="1" x14ac:dyDescent="0.25">
      <c r="A3956" t="s">
        <v>657</v>
      </c>
      <c r="B3956" t="s">
        <v>17</v>
      </c>
      <c r="E3956" s="3">
        <f>HYPERLINK("https://sao.dolgi.msk.ru/account/1404243556/", 1404243556)</f>
        <v>1404243556</v>
      </c>
      <c r="F3956">
        <v>-2885.77</v>
      </c>
    </row>
    <row r="3957" spans="1:6" hidden="1" x14ac:dyDescent="0.25">
      <c r="A3957" t="s">
        <v>657</v>
      </c>
      <c r="B3957" t="s">
        <v>18</v>
      </c>
      <c r="E3957" s="3">
        <f>HYPERLINK("https://sao.dolgi.msk.ru/account/1404245439/", 1404245439)</f>
        <v>1404245439</v>
      </c>
      <c r="F3957">
        <v>-1650.07</v>
      </c>
    </row>
    <row r="3958" spans="1:6" hidden="1" x14ac:dyDescent="0.25">
      <c r="A3958" t="s">
        <v>657</v>
      </c>
      <c r="B3958" t="s">
        <v>19</v>
      </c>
      <c r="E3958" s="3">
        <f>HYPERLINK("https://sao.dolgi.msk.ru/account/1404245754/", 1404245754)</f>
        <v>1404245754</v>
      </c>
      <c r="F3958">
        <v>-892.05</v>
      </c>
    </row>
    <row r="3959" spans="1:6" hidden="1" x14ac:dyDescent="0.25">
      <c r="A3959" t="s">
        <v>657</v>
      </c>
      <c r="B3959" t="s">
        <v>20</v>
      </c>
      <c r="E3959" s="3">
        <f>HYPERLINK("https://sao.dolgi.msk.ru/account/1404245674/", 1404245674)</f>
        <v>1404245674</v>
      </c>
      <c r="F3959">
        <v>-4289.28</v>
      </c>
    </row>
    <row r="3960" spans="1:6" hidden="1" x14ac:dyDescent="0.25">
      <c r="A3960" t="s">
        <v>657</v>
      </c>
      <c r="B3960" t="s">
        <v>21</v>
      </c>
      <c r="E3960" s="3">
        <f>HYPERLINK("https://sao.dolgi.msk.ru/account/1404243476/", 1404243476)</f>
        <v>1404243476</v>
      </c>
      <c r="F3960">
        <v>-849.18</v>
      </c>
    </row>
    <row r="3961" spans="1:6" hidden="1" x14ac:dyDescent="0.25">
      <c r="A3961" t="s">
        <v>657</v>
      </c>
      <c r="B3961" t="s">
        <v>22</v>
      </c>
      <c r="E3961" s="3">
        <f>HYPERLINK("https://sao.dolgi.msk.ru/account/1404245404/", 1404245404)</f>
        <v>1404245404</v>
      </c>
      <c r="F3961">
        <v>-2477.4299999999998</v>
      </c>
    </row>
    <row r="3962" spans="1:6" hidden="1" x14ac:dyDescent="0.25">
      <c r="A3962" t="s">
        <v>657</v>
      </c>
      <c r="B3962" t="s">
        <v>23</v>
      </c>
      <c r="E3962" s="3">
        <f>HYPERLINK("https://sao.dolgi.msk.ru/account/1404245551/", 1404245551)</f>
        <v>1404245551</v>
      </c>
      <c r="F3962">
        <v>-2745.02</v>
      </c>
    </row>
    <row r="3963" spans="1:6" hidden="1" x14ac:dyDescent="0.25">
      <c r="A3963" t="s">
        <v>657</v>
      </c>
      <c r="B3963" t="s">
        <v>24</v>
      </c>
      <c r="E3963" s="3">
        <f>HYPERLINK("https://sao.dolgi.msk.ru/account/1404245025/", 1404245025)</f>
        <v>1404245025</v>
      </c>
      <c r="F3963">
        <v>0</v>
      </c>
    </row>
    <row r="3964" spans="1:6" hidden="1" x14ac:dyDescent="0.25">
      <c r="A3964" t="s">
        <v>657</v>
      </c>
      <c r="B3964" t="s">
        <v>25</v>
      </c>
      <c r="E3964" s="3">
        <f>HYPERLINK("https://sao.dolgi.msk.ru/account/1404244874/", 1404244874)</f>
        <v>1404244874</v>
      </c>
      <c r="F3964">
        <v>0</v>
      </c>
    </row>
    <row r="3965" spans="1:6" hidden="1" x14ac:dyDescent="0.25">
      <c r="A3965" t="s">
        <v>657</v>
      </c>
      <c r="B3965" t="s">
        <v>26</v>
      </c>
      <c r="E3965" s="3">
        <f>HYPERLINK("https://sao.dolgi.msk.ru/account/1404243855/", 1404243855)</f>
        <v>1404243855</v>
      </c>
      <c r="F3965">
        <v>-2468.1799999999998</v>
      </c>
    </row>
    <row r="3966" spans="1:6" hidden="1" x14ac:dyDescent="0.25">
      <c r="A3966" t="s">
        <v>657</v>
      </c>
      <c r="B3966" t="s">
        <v>27</v>
      </c>
      <c r="E3966" s="3">
        <f>HYPERLINK("https://sao.dolgi.msk.ru/account/1404244559/", 1404244559)</f>
        <v>1404244559</v>
      </c>
      <c r="F3966">
        <v>-2477.4299999999998</v>
      </c>
    </row>
    <row r="3967" spans="1:6" hidden="1" x14ac:dyDescent="0.25">
      <c r="A3967" t="s">
        <v>657</v>
      </c>
      <c r="B3967" t="s">
        <v>28</v>
      </c>
      <c r="E3967" s="3">
        <f>HYPERLINK("https://sao.dolgi.msk.ru/account/1404243572/", 1404243572)</f>
        <v>1404243572</v>
      </c>
      <c r="F3967">
        <v>-3545.12</v>
      </c>
    </row>
    <row r="3968" spans="1:6" hidden="1" x14ac:dyDescent="0.25">
      <c r="A3968" t="s">
        <v>657</v>
      </c>
      <c r="B3968" t="s">
        <v>29</v>
      </c>
      <c r="E3968" s="3">
        <f>HYPERLINK("https://sao.dolgi.msk.ru/account/1404245471/", 1404245471)</f>
        <v>1404245471</v>
      </c>
      <c r="F3968">
        <v>-1789.8</v>
      </c>
    </row>
    <row r="3969" spans="1:6" hidden="1" x14ac:dyDescent="0.25">
      <c r="A3969" t="s">
        <v>657</v>
      </c>
      <c r="B3969" t="s">
        <v>30</v>
      </c>
      <c r="E3969" s="3">
        <f>HYPERLINK("https://sao.dolgi.msk.ru/account/1404245789/", 1404245789)</f>
        <v>1404245789</v>
      </c>
      <c r="F3969">
        <v>-2468.1799999999998</v>
      </c>
    </row>
    <row r="3970" spans="1:6" hidden="1" x14ac:dyDescent="0.25">
      <c r="A3970" t="s">
        <v>657</v>
      </c>
      <c r="B3970" t="s">
        <v>31</v>
      </c>
      <c r="E3970" s="3">
        <f>HYPERLINK("https://sao.dolgi.msk.ru/account/1404244567/", 1404244567)</f>
        <v>1404244567</v>
      </c>
      <c r="F3970">
        <v>-2241.31</v>
      </c>
    </row>
    <row r="3971" spans="1:6" hidden="1" x14ac:dyDescent="0.25">
      <c r="A3971" t="s">
        <v>657</v>
      </c>
      <c r="B3971" t="s">
        <v>32</v>
      </c>
      <c r="E3971" s="3">
        <f>HYPERLINK("https://sao.dolgi.msk.ru/account/1404243599/", 1404243599)</f>
        <v>1404243599</v>
      </c>
      <c r="F3971">
        <v>-3545.12</v>
      </c>
    </row>
    <row r="3972" spans="1:6" hidden="1" x14ac:dyDescent="0.25">
      <c r="A3972" t="s">
        <v>657</v>
      </c>
      <c r="B3972" t="s">
        <v>33</v>
      </c>
      <c r="E3972" s="3">
        <f>HYPERLINK("https://sao.dolgi.msk.ru/account/1404243601/", 1404243601)</f>
        <v>1404243601</v>
      </c>
      <c r="F3972">
        <v>0</v>
      </c>
    </row>
    <row r="3973" spans="1:6" hidden="1" x14ac:dyDescent="0.25">
      <c r="A3973" t="s">
        <v>657</v>
      </c>
      <c r="B3973" t="s">
        <v>34</v>
      </c>
      <c r="E3973" s="3">
        <f>HYPERLINK("https://sao.dolgi.msk.ru/account/1404244882/", 1404244882)</f>
        <v>1404244882</v>
      </c>
      <c r="F3973">
        <v>-1710.17</v>
      </c>
    </row>
    <row r="3974" spans="1:6" x14ac:dyDescent="0.25">
      <c r="A3974" t="s">
        <v>657</v>
      </c>
      <c r="B3974" t="s">
        <v>35</v>
      </c>
      <c r="C3974" s="5" t="str">
        <f>" кв. "&amp;B3974</f>
        <v xml:space="preserve"> кв. 31</v>
      </c>
      <c r="D3974" s="5" t="str">
        <f>CONCATENATE(A3974,C3974)</f>
        <v>Валдайский пр., дом 9А к.1 кв. 31</v>
      </c>
      <c r="E3974" s="3">
        <f>HYPERLINK("https://sao.dolgi.msk.ru/account/1404245797/", 1404245797)</f>
        <v>1404245797</v>
      </c>
      <c r="F3974">
        <v>1695.37</v>
      </c>
    </row>
    <row r="3975" spans="1:6" hidden="1" x14ac:dyDescent="0.25">
      <c r="A3975" t="s">
        <v>657</v>
      </c>
      <c r="B3975" t="s">
        <v>36</v>
      </c>
      <c r="E3975" s="3">
        <f>HYPERLINK("https://sao.dolgi.msk.ru/account/1404244903/", 1404244903)</f>
        <v>1404244903</v>
      </c>
      <c r="F3975">
        <v>-3549.74</v>
      </c>
    </row>
    <row r="3976" spans="1:6" x14ac:dyDescent="0.25">
      <c r="A3976" t="s">
        <v>657</v>
      </c>
      <c r="B3976" t="s">
        <v>37</v>
      </c>
      <c r="C3976" s="5" t="str">
        <f>" кв. "&amp;B3976</f>
        <v xml:space="preserve"> кв. 33</v>
      </c>
      <c r="D3976" s="5" t="str">
        <f>CONCATENATE(A3976,C3976)</f>
        <v>Валдайский пр., дом 9А к.1 кв. 33</v>
      </c>
      <c r="E3976" s="3">
        <f>HYPERLINK("https://sao.dolgi.msk.ru/account/1404245578/", 1404245578)</f>
        <v>1404245578</v>
      </c>
      <c r="F3976">
        <v>2365.92</v>
      </c>
    </row>
    <row r="3977" spans="1:6" hidden="1" x14ac:dyDescent="0.25">
      <c r="A3977" t="s">
        <v>657</v>
      </c>
      <c r="B3977" t="s">
        <v>38</v>
      </c>
      <c r="E3977" s="3">
        <f>HYPERLINK("https://sao.dolgi.msk.ru/account/1404243943/", 1404243943)</f>
        <v>1404243943</v>
      </c>
      <c r="F3977">
        <v>-2468.1799999999998</v>
      </c>
    </row>
    <row r="3978" spans="1:6" hidden="1" x14ac:dyDescent="0.25">
      <c r="A3978" t="s">
        <v>657</v>
      </c>
      <c r="B3978" t="s">
        <v>39</v>
      </c>
      <c r="E3978" s="3">
        <f>HYPERLINK("https://sao.dolgi.msk.ru/account/1404244292/", 1404244292)</f>
        <v>1404244292</v>
      </c>
      <c r="F3978">
        <v>-2090.29</v>
      </c>
    </row>
    <row r="3979" spans="1:6" x14ac:dyDescent="0.25">
      <c r="A3979" t="s">
        <v>657</v>
      </c>
      <c r="B3979" t="s">
        <v>40</v>
      </c>
      <c r="C3979" s="5" t="str">
        <f t="shared" ref="C3979:C3980" si="183">" кв. "&amp;B3979</f>
        <v xml:space="preserve"> кв. 36</v>
      </c>
      <c r="D3979" s="5" t="str">
        <f>CONCATENATE(A3979,C3979)</f>
        <v>Валдайский пр., дом 9А к.1 кв. 36</v>
      </c>
      <c r="E3979" s="3">
        <f>HYPERLINK("https://sao.dolgi.msk.ru/account/1404244575/", 1404244575)</f>
        <v>1404244575</v>
      </c>
      <c r="F3979">
        <v>2419.6999999999998</v>
      </c>
    </row>
    <row r="3980" spans="1:6" x14ac:dyDescent="0.25">
      <c r="A3980" t="s">
        <v>657</v>
      </c>
      <c r="B3980" t="s">
        <v>41</v>
      </c>
      <c r="C3980" s="5" t="str">
        <f t="shared" si="183"/>
        <v xml:space="preserve"> кв. 37</v>
      </c>
      <c r="D3980" s="5" t="str">
        <f>CONCATENATE(A3980,C3980)</f>
        <v>Валдайский пр., дом 9А к.1 кв. 37</v>
      </c>
      <c r="E3980" s="3">
        <f>HYPERLINK("https://sao.dolgi.msk.ru/account/1404244911/", 1404244911)</f>
        <v>1404244911</v>
      </c>
      <c r="F3980">
        <v>1840.86</v>
      </c>
    </row>
    <row r="3981" spans="1:6" hidden="1" x14ac:dyDescent="0.25">
      <c r="A3981" t="s">
        <v>657</v>
      </c>
      <c r="B3981" t="s">
        <v>42</v>
      </c>
      <c r="E3981" s="3">
        <f>HYPERLINK("https://sao.dolgi.msk.ru/account/1404243951/", 1404243951)</f>
        <v>1404243951</v>
      </c>
      <c r="F3981">
        <v>-2086.39</v>
      </c>
    </row>
    <row r="3982" spans="1:6" hidden="1" x14ac:dyDescent="0.25">
      <c r="A3982" t="s">
        <v>657</v>
      </c>
      <c r="B3982" t="s">
        <v>43</v>
      </c>
      <c r="E3982" s="3">
        <f>HYPERLINK("https://sao.dolgi.msk.ru/account/1404245818/", 1404245818)</f>
        <v>1404245818</v>
      </c>
      <c r="F3982">
        <v>-2477.4299999999998</v>
      </c>
    </row>
    <row r="3983" spans="1:6" x14ac:dyDescent="0.25">
      <c r="A3983" t="s">
        <v>657</v>
      </c>
      <c r="B3983" t="s">
        <v>44</v>
      </c>
      <c r="C3983" s="5" t="str">
        <f>" кв. "&amp;B3983</f>
        <v xml:space="preserve"> кв. 40</v>
      </c>
      <c r="D3983" s="5" t="str">
        <f>CONCATENATE(A3983,C3983)</f>
        <v>Валдайский пр., дом 9А к.1 кв. 40</v>
      </c>
      <c r="E3983" s="3">
        <f>HYPERLINK("https://sao.dolgi.msk.ru/account/1404245877/", 1404245877)</f>
        <v>1404245877</v>
      </c>
      <c r="F3983">
        <v>2422.86</v>
      </c>
    </row>
    <row r="3984" spans="1:6" hidden="1" x14ac:dyDescent="0.25">
      <c r="A3984" t="s">
        <v>657</v>
      </c>
      <c r="B3984" t="s">
        <v>45</v>
      </c>
      <c r="E3984" s="3">
        <f>HYPERLINK("https://sao.dolgi.msk.ru/account/1404244647/", 1404244647)</f>
        <v>1404244647</v>
      </c>
      <c r="F3984">
        <v>-3461.93</v>
      </c>
    </row>
    <row r="3985" spans="1:6" x14ac:dyDescent="0.25">
      <c r="A3985" t="s">
        <v>657</v>
      </c>
      <c r="B3985" t="s">
        <v>46</v>
      </c>
      <c r="C3985" s="5" t="str">
        <f t="shared" ref="C3985:C3986" si="184">" кв. "&amp;B3985</f>
        <v xml:space="preserve"> кв. 42</v>
      </c>
      <c r="D3985" s="5" t="str">
        <f>CONCATENATE(A3985,C3985)</f>
        <v>Валдайский пр., дом 9А к.1 кв. 42</v>
      </c>
      <c r="E3985" s="3">
        <f>HYPERLINK("https://sao.dolgi.msk.ru/account/1404245519/", 1404245519)</f>
        <v>1404245519</v>
      </c>
      <c r="F3985">
        <v>1695.37</v>
      </c>
    </row>
    <row r="3986" spans="1:6" x14ac:dyDescent="0.25">
      <c r="A3986" t="s">
        <v>657</v>
      </c>
      <c r="B3986" t="s">
        <v>47</v>
      </c>
      <c r="C3986" s="5" t="str">
        <f t="shared" si="184"/>
        <v xml:space="preserve"> кв. 43</v>
      </c>
      <c r="D3986" s="5" t="str">
        <f>CONCATENATE(A3986,C3986)</f>
        <v>Валдайский пр., дом 9А к.1 кв. 43</v>
      </c>
      <c r="E3986" s="3">
        <f>HYPERLINK("https://sao.dolgi.msk.ru/account/1404244321/", 1404244321)</f>
        <v>1404244321</v>
      </c>
      <c r="F3986">
        <v>1176.6300000000001</v>
      </c>
    </row>
    <row r="3987" spans="1:6" hidden="1" x14ac:dyDescent="0.25">
      <c r="A3987" t="s">
        <v>657</v>
      </c>
      <c r="B3987" t="s">
        <v>48</v>
      </c>
      <c r="E3987" s="3">
        <f>HYPERLINK("https://sao.dolgi.msk.ru/account/1404243652/", 1404243652)</f>
        <v>1404243652</v>
      </c>
      <c r="F3987">
        <v>-1772.55</v>
      </c>
    </row>
    <row r="3988" spans="1:6" hidden="1" x14ac:dyDescent="0.25">
      <c r="A3988" t="s">
        <v>657</v>
      </c>
      <c r="B3988" t="s">
        <v>49</v>
      </c>
      <c r="E3988" s="3">
        <f>HYPERLINK("https://sao.dolgi.msk.ru/account/1404245527/", 1404245527)</f>
        <v>1404245527</v>
      </c>
      <c r="F3988">
        <v>-3452.68</v>
      </c>
    </row>
    <row r="3989" spans="1:6" hidden="1" x14ac:dyDescent="0.25">
      <c r="A3989" t="s">
        <v>657</v>
      </c>
      <c r="B3989" t="s">
        <v>50</v>
      </c>
      <c r="E3989" s="3">
        <f>HYPERLINK("https://sao.dolgi.msk.ru/account/1404244049/", 1404244049)</f>
        <v>1404244049</v>
      </c>
      <c r="F3989">
        <v>-2472.81</v>
      </c>
    </row>
    <row r="3990" spans="1:6" hidden="1" x14ac:dyDescent="0.25">
      <c r="A3990" t="s">
        <v>657</v>
      </c>
      <c r="B3990" t="s">
        <v>51</v>
      </c>
      <c r="E3990" s="3">
        <f>HYPERLINK("https://sao.dolgi.msk.ru/account/1404244057/", 1404244057)</f>
        <v>1404244057</v>
      </c>
      <c r="F3990">
        <v>-2482.0500000000002</v>
      </c>
    </row>
    <row r="3991" spans="1:6" hidden="1" x14ac:dyDescent="0.25">
      <c r="A3991" t="s">
        <v>657</v>
      </c>
      <c r="B3991" t="s">
        <v>52</v>
      </c>
      <c r="E3991" s="3">
        <f>HYPERLINK("https://sao.dolgi.msk.ru/account/1404244348/", 1404244348)</f>
        <v>1404244348</v>
      </c>
      <c r="F3991">
        <v>-3261.08</v>
      </c>
    </row>
    <row r="3992" spans="1:6" x14ac:dyDescent="0.25">
      <c r="A3992" t="s">
        <v>657</v>
      </c>
      <c r="B3992" t="s">
        <v>53</v>
      </c>
      <c r="C3992" s="5" t="str">
        <f>" кв. "&amp;B3992</f>
        <v xml:space="preserve"> кв. 49</v>
      </c>
      <c r="D3992" s="5" t="str">
        <f>CONCATENATE(A3992,C3992)</f>
        <v>Валдайский пр., дом 9А к.1 кв. 49</v>
      </c>
      <c r="E3992" s="3">
        <f>HYPERLINK("https://sao.dolgi.msk.ru/account/1404245279/", 1404245279)</f>
        <v>1404245279</v>
      </c>
      <c r="F3992">
        <v>2369.09</v>
      </c>
    </row>
    <row r="3993" spans="1:6" hidden="1" x14ac:dyDescent="0.25">
      <c r="A3993" t="s">
        <v>657</v>
      </c>
      <c r="B3993" t="s">
        <v>54</v>
      </c>
      <c r="E3993" s="3">
        <f>HYPERLINK("https://sao.dolgi.msk.ru/account/1404244591/", 1404244591)</f>
        <v>1404244591</v>
      </c>
      <c r="F3993">
        <v>-4435.6000000000004</v>
      </c>
    </row>
    <row r="3994" spans="1:6" hidden="1" x14ac:dyDescent="0.25">
      <c r="A3994" t="s">
        <v>657</v>
      </c>
      <c r="B3994" t="s">
        <v>55</v>
      </c>
      <c r="E3994" s="3">
        <f>HYPERLINK("https://sao.dolgi.msk.ru/account/1404244006/", 1404244006)</f>
        <v>1404244006</v>
      </c>
      <c r="F3994">
        <v>-2477.4299999999998</v>
      </c>
    </row>
    <row r="3995" spans="1:6" hidden="1" x14ac:dyDescent="0.25">
      <c r="A3995" t="s">
        <v>657</v>
      </c>
      <c r="B3995" t="s">
        <v>56</v>
      </c>
      <c r="E3995" s="3">
        <f>HYPERLINK("https://sao.dolgi.msk.ru/account/1404243628/", 1404243628)</f>
        <v>1404243628</v>
      </c>
      <c r="F3995">
        <v>0</v>
      </c>
    </row>
    <row r="3996" spans="1:6" hidden="1" x14ac:dyDescent="0.25">
      <c r="A3996" t="s">
        <v>657</v>
      </c>
      <c r="B3996" t="s">
        <v>57</v>
      </c>
      <c r="E3996" s="3">
        <f>HYPERLINK("https://sao.dolgi.msk.ru/account/1404244014/", 1404244014)</f>
        <v>1404244014</v>
      </c>
      <c r="F3996">
        <v>0</v>
      </c>
    </row>
    <row r="3997" spans="1:6" hidden="1" x14ac:dyDescent="0.25">
      <c r="A3997" t="s">
        <v>657</v>
      </c>
      <c r="B3997" t="s">
        <v>58</v>
      </c>
      <c r="E3997" s="3">
        <f>HYPERLINK("https://sao.dolgi.msk.ru/account/1404245252/", 1404245252)</f>
        <v>1404245252</v>
      </c>
      <c r="F3997">
        <v>0</v>
      </c>
    </row>
    <row r="3998" spans="1:6" hidden="1" x14ac:dyDescent="0.25">
      <c r="A3998" t="s">
        <v>657</v>
      </c>
      <c r="B3998" t="s">
        <v>59</v>
      </c>
      <c r="E3998" s="3">
        <f>HYPERLINK("https://sao.dolgi.msk.ru/account/1404244946/", 1404244946)</f>
        <v>1404244946</v>
      </c>
      <c r="F3998">
        <v>0</v>
      </c>
    </row>
    <row r="3999" spans="1:6" x14ac:dyDescent="0.25">
      <c r="A3999" t="s">
        <v>657</v>
      </c>
      <c r="B3999" t="s">
        <v>60</v>
      </c>
      <c r="C3999" s="5" t="str">
        <f>" кв. "&amp;B3999</f>
        <v xml:space="preserve"> кв. 56</v>
      </c>
      <c r="D3999" s="5" t="str">
        <f>CONCATENATE(A3999,C3999)</f>
        <v>Валдайский пр., дом 9А к.1 кв. 56</v>
      </c>
      <c r="E3999" s="3">
        <f>HYPERLINK("https://sao.dolgi.msk.ru/account/1404243978/", 1404243978)</f>
        <v>1404243978</v>
      </c>
      <c r="F3999">
        <v>2435.5100000000002</v>
      </c>
    </row>
    <row r="4000" spans="1:6" hidden="1" x14ac:dyDescent="0.25">
      <c r="A4000" t="s">
        <v>657</v>
      </c>
      <c r="B4000" t="s">
        <v>61</v>
      </c>
      <c r="E4000" s="3">
        <f>HYPERLINK("https://sao.dolgi.msk.ru/account/1404244583/", 1404244583)</f>
        <v>1404244583</v>
      </c>
      <c r="F4000">
        <v>0</v>
      </c>
    </row>
    <row r="4001" spans="1:6" x14ac:dyDescent="0.25">
      <c r="A4001" t="s">
        <v>657</v>
      </c>
      <c r="B4001" t="s">
        <v>62</v>
      </c>
      <c r="C4001" s="5" t="str">
        <f>" кв. "&amp;B4001</f>
        <v xml:space="preserve"> кв. 58</v>
      </c>
      <c r="D4001" s="5" t="str">
        <f>CONCATENATE(A4001,C4001)</f>
        <v>Валдайский пр., дом 9А к.1 кв. 58</v>
      </c>
      <c r="E4001" s="3">
        <f>HYPERLINK("https://sao.dolgi.msk.ru/account/1404245367/", 1404245367)</f>
        <v>1404245367</v>
      </c>
      <c r="F4001">
        <v>1689.04</v>
      </c>
    </row>
    <row r="4002" spans="1:6" hidden="1" x14ac:dyDescent="0.25">
      <c r="A4002" t="s">
        <v>657</v>
      </c>
      <c r="B4002" t="s">
        <v>63</v>
      </c>
      <c r="E4002" s="3">
        <f>HYPERLINK("https://sao.dolgi.msk.ru/account/1404244401/", 1404244401)</f>
        <v>1404244401</v>
      </c>
      <c r="F4002">
        <v>-2477.4299999999998</v>
      </c>
    </row>
    <row r="4003" spans="1:6" hidden="1" x14ac:dyDescent="0.25">
      <c r="A4003" t="s">
        <v>657</v>
      </c>
      <c r="B4003" t="s">
        <v>64</v>
      </c>
      <c r="E4003" s="3">
        <f>HYPERLINK("https://sao.dolgi.msk.ru/account/1404244428/", 1404244428)</f>
        <v>1404244428</v>
      </c>
      <c r="F4003">
        <v>0</v>
      </c>
    </row>
    <row r="4004" spans="1:6" hidden="1" x14ac:dyDescent="0.25">
      <c r="A4004" t="s">
        <v>657</v>
      </c>
      <c r="B4004" t="s">
        <v>65</v>
      </c>
      <c r="E4004" s="3">
        <f>HYPERLINK("https://sao.dolgi.msk.ru/account/1404245594/", 1404245594)</f>
        <v>1404245594</v>
      </c>
      <c r="F4004">
        <v>0</v>
      </c>
    </row>
    <row r="4005" spans="1:6" x14ac:dyDescent="0.25">
      <c r="A4005" t="s">
        <v>657</v>
      </c>
      <c r="B4005" t="s">
        <v>66</v>
      </c>
      <c r="C4005" s="5" t="str">
        <f>" кв. "&amp;B4005</f>
        <v xml:space="preserve"> кв. 62</v>
      </c>
      <c r="D4005" s="5" t="str">
        <f>CONCATENATE(A4005,C4005)</f>
        <v>Валдайский пр., дом 9А к.1 кв. 62</v>
      </c>
      <c r="E4005" s="3">
        <f>HYPERLINK("https://sao.dolgi.msk.ru/account/1404244081/", 1404244081)</f>
        <v>1404244081</v>
      </c>
      <c r="F4005">
        <v>1027.98</v>
      </c>
    </row>
    <row r="4006" spans="1:6" hidden="1" x14ac:dyDescent="0.25">
      <c r="A4006" t="s">
        <v>657</v>
      </c>
      <c r="B4006" t="s">
        <v>67</v>
      </c>
      <c r="E4006" s="3">
        <f>HYPERLINK("https://sao.dolgi.msk.ru/account/1404245033/", 1404245033)</f>
        <v>1404245033</v>
      </c>
      <c r="F4006">
        <v>0</v>
      </c>
    </row>
    <row r="4007" spans="1:6" hidden="1" x14ac:dyDescent="0.25">
      <c r="A4007" t="s">
        <v>657</v>
      </c>
      <c r="B4007" t="s">
        <v>68</v>
      </c>
      <c r="E4007" s="3">
        <f>HYPERLINK("https://sao.dolgi.msk.ru/account/1404245359/", 1404245359)</f>
        <v>1404245359</v>
      </c>
      <c r="F4007">
        <v>-3540.5</v>
      </c>
    </row>
    <row r="4008" spans="1:6" hidden="1" x14ac:dyDescent="0.25">
      <c r="A4008" t="s">
        <v>657</v>
      </c>
      <c r="B4008" t="s">
        <v>69</v>
      </c>
      <c r="E4008" s="3">
        <f>HYPERLINK("https://sao.dolgi.msk.ru/account/1404243708/", 1404243708)</f>
        <v>1404243708</v>
      </c>
      <c r="F4008">
        <v>-1265.6300000000001</v>
      </c>
    </row>
    <row r="4009" spans="1:6" x14ac:dyDescent="0.25">
      <c r="A4009" t="s">
        <v>657</v>
      </c>
      <c r="B4009" t="s">
        <v>69</v>
      </c>
      <c r="C4009" s="5" t="str">
        <f>" кв. "&amp;B4009</f>
        <v xml:space="preserve"> кв. 65</v>
      </c>
      <c r="D4009" s="5" t="str">
        <f>CONCATENATE(A4009,C4009)</f>
        <v>Валдайский пр., дом 9А к.1 кв. 65</v>
      </c>
      <c r="E4009" s="3">
        <f>HYPERLINK("https://sao.dolgi.msk.ru/account/1404244305/", 1404244305)</f>
        <v>1404244305</v>
      </c>
      <c r="F4009">
        <v>992.43</v>
      </c>
    </row>
    <row r="4010" spans="1:6" hidden="1" x14ac:dyDescent="0.25">
      <c r="A4010" t="s">
        <v>657</v>
      </c>
      <c r="B4010" t="s">
        <v>70</v>
      </c>
      <c r="E4010" s="3">
        <f>HYPERLINK("https://sao.dolgi.msk.ru/account/1404244989/", 1404244989)</f>
        <v>1404244989</v>
      </c>
      <c r="F4010">
        <v>0</v>
      </c>
    </row>
    <row r="4011" spans="1:6" hidden="1" x14ac:dyDescent="0.25">
      <c r="A4011" t="s">
        <v>657</v>
      </c>
      <c r="B4011" t="s">
        <v>71</v>
      </c>
      <c r="E4011" s="3">
        <f>HYPERLINK("https://sao.dolgi.msk.ru/account/1404245607/", 1404245607)</f>
        <v>1404245607</v>
      </c>
      <c r="F4011">
        <v>-1462.82</v>
      </c>
    </row>
    <row r="4012" spans="1:6" x14ac:dyDescent="0.25">
      <c r="A4012" t="s">
        <v>657</v>
      </c>
      <c r="B4012" t="s">
        <v>72</v>
      </c>
      <c r="C4012" s="5" t="str">
        <f>" кв. "&amp;B4012</f>
        <v xml:space="preserve"> кв. 68</v>
      </c>
      <c r="D4012" s="5" t="str">
        <f>CONCATENATE(A4012,C4012)</f>
        <v>Валдайский пр., дом 9А к.1 кв. 68</v>
      </c>
      <c r="E4012" s="3">
        <f>HYPERLINK("https://sao.dolgi.msk.ru/account/1404243716/", 1404243716)</f>
        <v>1404243716</v>
      </c>
      <c r="F4012">
        <v>1298.5</v>
      </c>
    </row>
    <row r="4013" spans="1:6" hidden="1" x14ac:dyDescent="0.25">
      <c r="A4013" t="s">
        <v>657</v>
      </c>
      <c r="B4013" t="s">
        <v>73</v>
      </c>
      <c r="E4013" s="3">
        <f>HYPERLINK("https://sao.dolgi.msk.ru/account/1404244102/", 1404244102)</f>
        <v>1404244102</v>
      </c>
      <c r="F4013">
        <v>-4289.28</v>
      </c>
    </row>
    <row r="4014" spans="1:6" hidden="1" x14ac:dyDescent="0.25">
      <c r="A4014" t="s">
        <v>657</v>
      </c>
      <c r="B4014" t="s">
        <v>74</v>
      </c>
      <c r="E4014" s="3">
        <f>HYPERLINK("https://sao.dolgi.msk.ru/account/1404245623/", 1404245623)</f>
        <v>1404245623</v>
      </c>
      <c r="F4014">
        <v>-1650.07</v>
      </c>
    </row>
    <row r="4015" spans="1:6" hidden="1" x14ac:dyDescent="0.25">
      <c r="A4015" t="s">
        <v>657</v>
      </c>
      <c r="B4015" t="s">
        <v>75</v>
      </c>
      <c r="E4015" s="3">
        <f>HYPERLINK("https://sao.dolgi.msk.ru/account/1404245041/", 1404245041)</f>
        <v>1404245041</v>
      </c>
      <c r="F4015">
        <v>0</v>
      </c>
    </row>
    <row r="4016" spans="1:6" hidden="1" x14ac:dyDescent="0.25">
      <c r="A4016" t="s">
        <v>657</v>
      </c>
      <c r="B4016" t="s">
        <v>76</v>
      </c>
      <c r="E4016" s="3">
        <f>HYPERLINK("https://sao.dolgi.msk.ru/account/1404243433/", 1404243433)</f>
        <v>1404243433</v>
      </c>
      <c r="F4016">
        <v>-3608.38</v>
      </c>
    </row>
    <row r="4017" spans="1:6" hidden="1" x14ac:dyDescent="0.25">
      <c r="A4017" t="s">
        <v>657</v>
      </c>
      <c r="B4017" t="s">
        <v>77</v>
      </c>
      <c r="E4017" s="3">
        <f>HYPERLINK("https://sao.dolgi.msk.ru/account/1404245535/", 1404245535)</f>
        <v>1404245535</v>
      </c>
      <c r="F4017">
        <v>0</v>
      </c>
    </row>
    <row r="4018" spans="1:6" x14ac:dyDescent="0.25">
      <c r="A4018" t="s">
        <v>657</v>
      </c>
      <c r="B4018" t="s">
        <v>78</v>
      </c>
      <c r="C4018" s="5" t="str">
        <f>" кв. "&amp;B4018</f>
        <v xml:space="preserve"> кв. 74</v>
      </c>
      <c r="D4018" s="5" t="str">
        <f>CONCATENATE(A4018,C4018)</f>
        <v>Валдайский пр., дом 9А к.1 кв. 74</v>
      </c>
      <c r="E4018" s="3">
        <f>HYPERLINK("https://sao.dolgi.msk.ru/account/1404245586/", 1404245586)</f>
        <v>1404245586</v>
      </c>
      <c r="F4018">
        <v>1132.3499999999999</v>
      </c>
    </row>
    <row r="4019" spans="1:6" hidden="1" x14ac:dyDescent="0.25">
      <c r="A4019" t="s">
        <v>657</v>
      </c>
      <c r="B4019" t="s">
        <v>79</v>
      </c>
      <c r="E4019" s="3">
        <f>HYPERLINK("https://sao.dolgi.msk.ru/account/1404243417/", 1404243417)</f>
        <v>1404243417</v>
      </c>
      <c r="F4019">
        <v>-1393.51</v>
      </c>
    </row>
    <row r="4020" spans="1:6" hidden="1" x14ac:dyDescent="0.25">
      <c r="A4020" t="s">
        <v>657</v>
      </c>
      <c r="B4020" t="s">
        <v>80</v>
      </c>
      <c r="E4020" s="3">
        <f>HYPERLINK("https://sao.dolgi.msk.ru/account/1404244743/", 1404244743)</f>
        <v>1404244743</v>
      </c>
      <c r="F4020">
        <v>-2750.49</v>
      </c>
    </row>
    <row r="4021" spans="1:6" hidden="1" x14ac:dyDescent="0.25">
      <c r="A4021" t="s">
        <v>657</v>
      </c>
      <c r="B4021" t="s">
        <v>81</v>
      </c>
      <c r="E4021" s="3">
        <f>HYPERLINK("https://sao.dolgi.msk.ru/account/1404245842/", 1404245842)</f>
        <v>1404245842</v>
      </c>
      <c r="F4021">
        <v>0</v>
      </c>
    </row>
    <row r="4022" spans="1:6" hidden="1" x14ac:dyDescent="0.25">
      <c r="A4022" t="s">
        <v>657</v>
      </c>
      <c r="B4022" t="s">
        <v>82</v>
      </c>
      <c r="E4022" s="3">
        <f>HYPERLINK("https://sao.dolgi.msk.ru/account/1404244604/", 1404244604)</f>
        <v>1404244604</v>
      </c>
      <c r="F4022">
        <v>-1389.63</v>
      </c>
    </row>
    <row r="4023" spans="1:6" x14ac:dyDescent="0.25">
      <c r="A4023" t="s">
        <v>657</v>
      </c>
      <c r="B4023" t="s">
        <v>83</v>
      </c>
      <c r="C4023" s="5" t="str">
        <f>" кв. "&amp;B4023</f>
        <v xml:space="preserve"> кв. 79</v>
      </c>
      <c r="D4023" s="5" t="str">
        <f>CONCATENATE(A4023,C4023)</f>
        <v>Валдайский пр., дом 9А к.1 кв. 79</v>
      </c>
      <c r="E4023" s="3">
        <f>HYPERLINK("https://sao.dolgi.msk.ru/account/1404244612/", 1404244612)</f>
        <v>1404244612</v>
      </c>
      <c r="F4023">
        <v>563.02</v>
      </c>
    </row>
    <row r="4024" spans="1:6" hidden="1" x14ac:dyDescent="0.25">
      <c r="A4024" t="s">
        <v>657</v>
      </c>
      <c r="B4024" t="s">
        <v>84</v>
      </c>
      <c r="E4024" s="3">
        <f>HYPERLINK("https://sao.dolgi.msk.ru/account/1404244313/", 1404244313)</f>
        <v>1404244313</v>
      </c>
      <c r="F4024">
        <v>0</v>
      </c>
    </row>
    <row r="4025" spans="1:6" hidden="1" x14ac:dyDescent="0.25">
      <c r="A4025" t="s">
        <v>657</v>
      </c>
      <c r="B4025" t="s">
        <v>85</v>
      </c>
      <c r="E4025" s="3">
        <f>HYPERLINK("https://sao.dolgi.msk.ru/account/1404245498/", 1404245498)</f>
        <v>1404245498</v>
      </c>
      <c r="F4025">
        <v>-4289.28</v>
      </c>
    </row>
    <row r="4026" spans="1:6" hidden="1" x14ac:dyDescent="0.25">
      <c r="A4026" t="s">
        <v>657</v>
      </c>
      <c r="B4026" t="s">
        <v>86</v>
      </c>
      <c r="E4026" s="3">
        <f>HYPERLINK("https://sao.dolgi.msk.ru/account/1404243644/", 1404243644)</f>
        <v>1404243644</v>
      </c>
      <c r="F4026">
        <v>-1650.07</v>
      </c>
    </row>
    <row r="4027" spans="1:6" x14ac:dyDescent="0.25">
      <c r="A4027" t="s">
        <v>657</v>
      </c>
      <c r="B4027" t="s">
        <v>87</v>
      </c>
      <c r="C4027" s="5" t="str">
        <f>" кв. "&amp;B4027</f>
        <v xml:space="preserve"> кв. 83</v>
      </c>
      <c r="D4027" s="5" t="str">
        <f>CONCATENATE(A4027,C4027)</f>
        <v>Валдайский пр., дом 9А к.1 кв. 83</v>
      </c>
      <c r="E4027" s="3">
        <f>HYPERLINK("https://sao.dolgi.msk.ru/account/1404244639/", 1404244639)</f>
        <v>1404244639</v>
      </c>
      <c r="F4027">
        <v>1132.3499999999999</v>
      </c>
    </row>
    <row r="4028" spans="1:6" hidden="1" x14ac:dyDescent="0.25">
      <c r="A4028" t="s">
        <v>657</v>
      </c>
      <c r="B4028" t="s">
        <v>88</v>
      </c>
      <c r="E4028" s="3">
        <f>HYPERLINK("https://sao.dolgi.msk.ru/account/1404244022/", 1404244022)</f>
        <v>1404244022</v>
      </c>
      <c r="F4028">
        <v>-4293.91</v>
      </c>
    </row>
    <row r="4029" spans="1:6" hidden="1" x14ac:dyDescent="0.25">
      <c r="A4029" t="s">
        <v>657</v>
      </c>
      <c r="B4029" t="s">
        <v>89</v>
      </c>
      <c r="E4029" s="3">
        <f>HYPERLINK("https://sao.dolgi.msk.ru/account/1404244954/", 1404244954)</f>
        <v>1404244954</v>
      </c>
      <c r="F4029">
        <v>-3545.12</v>
      </c>
    </row>
    <row r="4030" spans="1:6" hidden="1" x14ac:dyDescent="0.25">
      <c r="A4030" t="s">
        <v>657</v>
      </c>
      <c r="B4030" t="s">
        <v>90</v>
      </c>
      <c r="E4030" s="3">
        <f>HYPERLINK("https://sao.dolgi.msk.ru/account/1404244962/", 1404244962)</f>
        <v>1404244962</v>
      </c>
      <c r="F4030">
        <v>-2482.0500000000002</v>
      </c>
    </row>
    <row r="4031" spans="1:6" hidden="1" x14ac:dyDescent="0.25">
      <c r="A4031" t="s">
        <v>657</v>
      </c>
      <c r="B4031" t="s">
        <v>91</v>
      </c>
      <c r="E4031" s="3">
        <f>HYPERLINK("https://sao.dolgi.msk.ru/account/1404243679/", 1404243679)</f>
        <v>1404243679</v>
      </c>
      <c r="F4031">
        <v>-2477.4299999999998</v>
      </c>
    </row>
    <row r="4032" spans="1:6" hidden="1" x14ac:dyDescent="0.25">
      <c r="A4032" t="s">
        <v>657</v>
      </c>
      <c r="B4032" t="s">
        <v>92</v>
      </c>
      <c r="E4032" s="3">
        <f>HYPERLINK("https://sao.dolgi.msk.ru/account/1404244065/", 1404244065)</f>
        <v>1404244065</v>
      </c>
      <c r="F4032">
        <v>-2321.33</v>
      </c>
    </row>
    <row r="4033" spans="1:6" hidden="1" x14ac:dyDescent="0.25">
      <c r="A4033" t="s">
        <v>657</v>
      </c>
      <c r="B4033" t="s">
        <v>93</v>
      </c>
      <c r="E4033" s="3">
        <f>HYPERLINK("https://sao.dolgi.msk.ru/account/1404244073/", 1404244073)</f>
        <v>1404244073</v>
      </c>
      <c r="F4033">
        <v>-3549.74</v>
      </c>
    </row>
    <row r="4034" spans="1:6" hidden="1" x14ac:dyDescent="0.25">
      <c r="A4034" t="s">
        <v>657</v>
      </c>
      <c r="B4034" t="s">
        <v>94</v>
      </c>
      <c r="E4034" s="3">
        <f>HYPERLINK("https://sao.dolgi.msk.ru/account/1404244356/", 1404244356)</f>
        <v>1404244356</v>
      </c>
      <c r="F4034">
        <v>0</v>
      </c>
    </row>
    <row r="4035" spans="1:6" hidden="1" x14ac:dyDescent="0.25">
      <c r="A4035" t="s">
        <v>657</v>
      </c>
      <c r="B4035" t="s">
        <v>95</v>
      </c>
      <c r="E4035" s="3">
        <f>HYPERLINK("https://sao.dolgi.msk.ru/account/1404245543/", 1404245543)</f>
        <v>1404245543</v>
      </c>
      <c r="F4035">
        <v>-2486.67</v>
      </c>
    </row>
    <row r="4036" spans="1:6" hidden="1" x14ac:dyDescent="0.25">
      <c r="A4036" t="s">
        <v>657</v>
      </c>
      <c r="B4036" t="s">
        <v>96</v>
      </c>
      <c r="E4036" s="3">
        <f>HYPERLINK("https://sao.dolgi.msk.ru/account/1404244655/", 1404244655)</f>
        <v>1404244655</v>
      </c>
      <c r="F4036">
        <v>-3540.5</v>
      </c>
    </row>
    <row r="4037" spans="1:6" hidden="1" x14ac:dyDescent="0.25">
      <c r="A4037" t="s">
        <v>657</v>
      </c>
      <c r="B4037" t="s">
        <v>97</v>
      </c>
      <c r="E4037" s="3">
        <f>HYPERLINK("https://sao.dolgi.msk.ru/account/1404245287/", 1404245287)</f>
        <v>1404245287</v>
      </c>
      <c r="F4037">
        <v>0</v>
      </c>
    </row>
    <row r="4038" spans="1:6" x14ac:dyDescent="0.25">
      <c r="A4038" t="s">
        <v>657</v>
      </c>
      <c r="B4038" t="s">
        <v>98</v>
      </c>
      <c r="C4038" s="5" t="str">
        <f>" кв. "&amp;B4038</f>
        <v xml:space="preserve"> кв. 94</v>
      </c>
      <c r="D4038" s="5" t="str">
        <f>CONCATENATE(A4038,C4038)</f>
        <v>Валдайский пр., дом 9А к.1 кв. 94</v>
      </c>
      <c r="E4038" s="3">
        <f>HYPERLINK("https://sao.dolgi.msk.ru/account/1404245885/", 1404245885)</f>
        <v>1404245885</v>
      </c>
      <c r="F4038">
        <v>1692.21</v>
      </c>
    </row>
    <row r="4039" spans="1:6" hidden="1" x14ac:dyDescent="0.25">
      <c r="A4039" t="s">
        <v>657</v>
      </c>
      <c r="B4039" t="s">
        <v>99</v>
      </c>
      <c r="E4039" s="3">
        <f>HYPERLINK("https://sao.dolgi.msk.ru/account/1404245295/", 1404245295)</f>
        <v>1404245295</v>
      </c>
      <c r="F4039">
        <v>-2472.81</v>
      </c>
    </row>
    <row r="4040" spans="1:6" hidden="1" x14ac:dyDescent="0.25">
      <c r="A4040" t="s">
        <v>657</v>
      </c>
      <c r="B4040" t="s">
        <v>100</v>
      </c>
      <c r="E4040" s="3">
        <f>HYPERLINK("https://sao.dolgi.msk.ru/account/1404245893/", 1404245893)</f>
        <v>1404245893</v>
      </c>
      <c r="F4040">
        <v>-3545.12</v>
      </c>
    </row>
    <row r="4041" spans="1:6" hidden="1" x14ac:dyDescent="0.25">
      <c r="A4041" t="s">
        <v>657</v>
      </c>
      <c r="B4041" t="s">
        <v>101</v>
      </c>
      <c r="E4041" s="3">
        <f>HYPERLINK("https://sao.dolgi.msk.ru/account/1404243687/", 1404243687)</f>
        <v>1404243687</v>
      </c>
      <c r="F4041">
        <v>0</v>
      </c>
    </row>
    <row r="4042" spans="1:6" hidden="1" x14ac:dyDescent="0.25">
      <c r="A4042" t="s">
        <v>657</v>
      </c>
      <c r="B4042" t="s">
        <v>102</v>
      </c>
      <c r="E4042" s="3">
        <f>HYPERLINK("https://sao.dolgi.msk.ru/account/1404245906/", 1404245906)</f>
        <v>1404245906</v>
      </c>
      <c r="F4042">
        <v>-2472.81</v>
      </c>
    </row>
    <row r="4043" spans="1:6" hidden="1" x14ac:dyDescent="0.25">
      <c r="A4043" t="s">
        <v>657</v>
      </c>
      <c r="B4043" t="s">
        <v>103</v>
      </c>
      <c r="E4043" s="3">
        <f>HYPERLINK("https://sao.dolgi.msk.ru/account/1404244663/", 1404244663)</f>
        <v>1404244663</v>
      </c>
      <c r="F4043">
        <v>-783.52</v>
      </c>
    </row>
    <row r="4044" spans="1:6" x14ac:dyDescent="0.25">
      <c r="A4044" t="s">
        <v>657</v>
      </c>
      <c r="B4044" t="s">
        <v>104</v>
      </c>
      <c r="C4044" s="5" t="str">
        <f>" кв. "&amp;B4044</f>
        <v xml:space="preserve"> кв. 100</v>
      </c>
      <c r="D4044" s="5" t="str">
        <f>CONCATENATE(A4044,C4044)</f>
        <v>Валдайский пр., дом 9А к.1 кв. 100</v>
      </c>
      <c r="E4044" s="3">
        <f>HYPERLINK("https://sao.dolgi.msk.ru/account/1404244452/", 1404244452)</f>
        <v>1404244452</v>
      </c>
      <c r="F4044">
        <v>2426.02</v>
      </c>
    </row>
    <row r="4045" spans="1:6" hidden="1" x14ac:dyDescent="0.25">
      <c r="A4045" t="s">
        <v>657</v>
      </c>
      <c r="B4045" t="s">
        <v>105</v>
      </c>
      <c r="E4045" s="3">
        <f>HYPERLINK("https://sao.dolgi.msk.ru/account/1404244196/", 1404244196)</f>
        <v>1404244196</v>
      </c>
      <c r="F4045">
        <v>-2644.77</v>
      </c>
    </row>
    <row r="4046" spans="1:6" hidden="1" x14ac:dyDescent="0.25">
      <c r="A4046" t="s">
        <v>657</v>
      </c>
      <c r="B4046" t="s">
        <v>106</v>
      </c>
      <c r="E4046" s="3">
        <f>HYPERLINK("https://sao.dolgi.msk.ru/account/1404245383/", 1404245383)</f>
        <v>1404245383</v>
      </c>
      <c r="F4046">
        <v>-1572.46</v>
      </c>
    </row>
    <row r="4047" spans="1:6" hidden="1" x14ac:dyDescent="0.25">
      <c r="A4047" t="s">
        <v>657</v>
      </c>
      <c r="B4047" t="s">
        <v>107</v>
      </c>
      <c r="E4047" s="3">
        <f>HYPERLINK("https://sao.dolgi.msk.ru/account/1404243484/", 1404243484)</f>
        <v>1404243484</v>
      </c>
      <c r="F4047">
        <v>-2482.0500000000002</v>
      </c>
    </row>
    <row r="4048" spans="1:6" hidden="1" x14ac:dyDescent="0.25">
      <c r="A4048" t="s">
        <v>657</v>
      </c>
      <c r="B4048" t="s">
        <v>108</v>
      </c>
      <c r="E4048" s="3">
        <f>HYPERLINK("https://sao.dolgi.msk.ru/account/1404245703/", 1404245703)</f>
        <v>1404245703</v>
      </c>
      <c r="F4048">
        <v>-3545.12</v>
      </c>
    </row>
    <row r="4049" spans="1:6" x14ac:dyDescent="0.25">
      <c r="A4049" t="s">
        <v>657</v>
      </c>
      <c r="B4049" t="s">
        <v>109</v>
      </c>
      <c r="C4049" s="5" t="str">
        <f>" кв. "&amp;B4049</f>
        <v xml:space="preserve"> кв. 105</v>
      </c>
      <c r="D4049" s="5" t="str">
        <f>CONCATENATE(A4049,C4049)</f>
        <v>Валдайский пр., дом 9А к.1 кв. 105</v>
      </c>
      <c r="E4049" s="3">
        <f>HYPERLINK("https://sao.dolgi.msk.ru/account/1404243804/", 1404243804)</f>
        <v>1404243804</v>
      </c>
      <c r="F4049">
        <v>2426.02</v>
      </c>
    </row>
    <row r="4050" spans="1:6" hidden="1" x14ac:dyDescent="0.25">
      <c r="A4050" t="s">
        <v>657</v>
      </c>
      <c r="B4050" t="s">
        <v>110</v>
      </c>
      <c r="E4050" s="3">
        <f>HYPERLINK("https://sao.dolgi.msk.ru/account/1404245711/", 1404245711)</f>
        <v>1404245711</v>
      </c>
      <c r="F4050">
        <v>-1422.16</v>
      </c>
    </row>
    <row r="4051" spans="1:6" hidden="1" x14ac:dyDescent="0.25">
      <c r="A4051" t="s">
        <v>657</v>
      </c>
      <c r="B4051" t="s">
        <v>111</v>
      </c>
      <c r="E4051" s="3">
        <f>HYPERLINK("https://sao.dolgi.msk.ru/account/1404243812/", 1404243812)</f>
        <v>1404243812</v>
      </c>
      <c r="F4051">
        <v>0</v>
      </c>
    </row>
    <row r="4052" spans="1:6" hidden="1" x14ac:dyDescent="0.25">
      <c r="A4052" t="s">
        <v>657</v>
      </c>
      <c r="B4052" t="s">
        <v>112</v>
      </c>
      <c r="E4052" s="3">
        <f>HYPERLINK("https://sao.dolgi.msk.ru/account/1404245105/", 1404245105)</f>
        <v>1404245105</v>
      </c>
      <c r="F4052">
        <v>-3545.12</v>
      </c>
    </row>
    <row r="4053" spans="1:6" hidden="1" x14ac:dyDescent="0.25">
      <c r="A4053" t="s">
        <v>657</v>
      </c>
      <c r="B4053" t="s">
        <v>113</v>
      </c>
      <c r="E4053" s="3">
        <f>HYPERLINK("https://sao.dolgi.msk.ru/account/1404245391/", 1404245391)</f>
        <v>1404245391</v>
      </c>
      <c r="F4053">
        <v>-2993.35</v>
      </c>
    </row>
    <row r="4054" spans="1:6" hidden="1" x14ac:dyDescent="0.25">
      <c r="A4054" t="s">
        <v>657</v>
      </c>
      <c r="B4054" t="s">
        <v>114</v>
      </c>
      <c r="E4054" s="3">
        <f>HYPERLINK("https://sao.dolgi.msk.ru/account/1404244209/", 1404244209)</f>
        <v>1404244209</v>
      </c>
      <c r="F4054">
        <v>-2468.1799999999998</v>
      </c>
    </row>
    <row r="4055" spans="1:6" x14ac:dyDescent="0.25">
      <c r="A4055" t="s">
        <v>657</v>
      </c>
      <c r="B4055" t="s">
        <v>115</v>
      </c>
      <c r="C4055" s="5" t="str">
        <f>" кв. "&amp;B4055</f>
        <v xml:space="preserve"> кв. 111</v>
      </c>
      <c r="D4055" s="5" t="str">
        <f>CONCATENATE(A4055,C4055)</f>
        <v>Валдайский пр., дом 9А к.1 кв. 111</v>
      </c>
      <c r="E4055" s="3">
        <f>HYPERLINK("https://sao.dolgi.msk.ru/account/1404244479/", 1404244479)</f>
        <v>1404244479</v>
      </c>
      <c r="F4055">
        <v>1179.79</v>
      </c>
    </row>
    <row r="4056" spans="1:6" hidden="1" x14ac:dyDescent="0.25">
      <c r="A4056" t="s">
        <v>657</v>
      </c>
      <c r="B4056" t="s">
        <v>116</v>
      </c>
      <c r="E4056" s="3">
        <f>HYPERLINK("https://sao.dolgi.msk.ru/account/1404244823/", 1404244823)</f>
        <v>1404244823</v>
      </c>
      <c r="F4056">
        <v>-3549.74</v>
      </c>
    </row>
    <row r="4057" spans="1:6" hidden="1" x14ac:dyDescent="0.25">
      <c r="A4057" t="s">
        <v>657</v>
      </c>
      <c r="B4057" t="s">
        <v>117</v>
      </c>
      <c r="E4057" s="3">
        <f>HYPERLINK("https://sao.dolgi.msk.ru/account/1404245121/", 1404245121)</f>
        <v>1404245121</v>
      </c>
      <c r="F4057">
        <v>0</v>
      </c>
    </row>
    <row r="4058" spans="1:6" hidden="1" x14ac:dyDescent="0.25">
      <c r="A4058" t="s">
        <v>657</v>
      </c>
      <c r="B4058" t="s">
        <v>118</v>
      </c>
      <c r="E4058" s="3">
        <f>HYPERLINK("https://sao.dolgi.msk.ru/account/1404244217/", 1404244217)</f>
        <v>1404244217</v>
      </c>
      <c r="F4058">
        <v>-1710.17</v>
      </c>
    </row>
    <row r="4059" spans="1:6" x14ac:dyDescent="0.25">
      <c r="A4059" t="s">
        <v>657</v>
      </c>
      <c r="B4059" t="s">
        <v>119</v>
      </c>
      <c r="C4059" s="5" t="str">
        <f>" кв. "&amp;B4059</f>
        <v xml:space="preserve"> кв. 115</v>
      </c>
      <c r="D4059" s="5" t="str">
        <f>CONCATENATE(A4059,C4059)</f>
        <v>Валдайский пр., дом 9А к.1 кв. 115</v>
      </c>
      <c r="E4059" s="3">
        <f>HYPERLINK("https://sao.dolgi.msk.ru/account/1404244831/", 1404244831)</f>
        <v>1404244831</v>
      </c>
      <c r="F4059">
        <v>1695.37</v>
      </c>
    </row>
    <row r="4060" spans="1:6" hidden="1" x14ac:dyDescent="0.25">
      <c r="A4060" t="s">
        <v>657</v>
      </c>
      <c r="B4060" t="s">
        <v>120</v>
      </c>
      <c r="E4060" s="3">
        <f>HYPERLINK("https://sao.dolgi.msk.ru/account/1404245738/", 1404245738)</f>
        <v>1404245738</v>
      </c>
      <c r="F4060">
        <v>-3540.5</v>
      </c>
    </row>
    <row r="4061" spans="1:6" hidden="1" x14ac:dyDescent="0.25">
      <c r="A4061" t="s">
        <v>657</v>
      </c>
      <c r="B4061" t="s">
        <v>121</v>
      </c>
      <c r="E4061" s="3">
        <f>HYPERLINK("https://sao.dolgi.msk.ru/account/1404244225/", 1404244225)</f>
        <v>1404244225</v>
      </c>
      <c r="F4061">
        <v>-3540.5</v>
      </c>
    </row>
    <row r="4062" spans="1:6" hidden="1" x14ac:dyDescent="0.25">
      <c r="A4062" t="s">
        <v>657</v>
      </c>
      <c r="B4062" t="s">
        <v>122</v>
      </c>
      <c r="E4062" s="3">
        <f>HYPERLINK("https://sao.dolgi.msk.ru/account/1404243521/", 1404243521)</f>
        <v>1404243521</v>
      </c>
      <c r="F4062">
        <v>0</v>
      </c>
    </row>
    <row r="4063" spans="1:6" x14ac:dyDescent="0.25">
      <c r="A4063" t="s">
        <v>657</v>
      </c>
      <c r="B4063" t="s">
        <v>123</v>
      </c>
      <c r="C4063" s="5" t="str">
        <f>" кв. "&amp;B4063</f>
        <v xml:space="preserve"> кв. 119</v>
      </c>
      <c r="D4063" s="5" t="str">
        <f>CONCATENATE(A4063,C4063)</f>
        <v>Валдайский пр., дом 9А к.1 кв. 119</v>
      </c>
      <c r="E4063" s="3">
        <f>HYPERLINK("https://sao.dolgi.msk.ru/account/1404245455/", 1404245455)</f>
        <v>1404245455</v>
      </c>
      <c r="F4063">
        <v>1132.3499999999999</v>
      </c>
    </row>
    <row r="4064" spans="1:6" hidden="1" x14ac:dyDescent="0.25">
      <c r="A4064" t="s">
        <v>657</v>
      </c>
      <c r="B4064" t="s">
        <v>124</v>
      </c>
      <c r="E4064" s="3">
        <f>HYPERLINK("https://sao.dolgi.msk.ru/account/1404245172/", 1404245172)</f>
        <v>1404245172</v>
      </c>
      <c r="F4064">
        <v>-3549.74</v>
      </c>
    </row>
    <row r="4065" spans="1:6" x14ac:dyDescent="0.25">
      <c r="A4065" t="s">
        <v>657</v>
      </c>
      <c r="B4065" t="s">
        <v>125</v>
      </c>
      <c r="C4065" s="5" t="str">
        <f>" кв. "&amp;B4065</f>
        <v xml:space="preserve"> кв. 121</v>
      </c>
      <c r="D4065" s="5" t="str">
        <f>CONCATENATE(A4065,C4065)</f>
        <v>Валдайский пр., дом 9А к.1 кв. 121</v>
      </c>
      <c r="E4065" s="3">
        <f>HYPERLINK("https://sao.dolgi.msk.ru/account/1404243863/", 1404243863)</f>
        <v>1404243863</v>
      </c>
      <c r="F4065">
        <v>2028.36</v>
      </c>
    </row>
    <row r="4066" spans="1:6" hidden="1" x14ac:dyDescent="0.25">
      <c r="A4066" t="s">
        <v>657</v>
      </c>
      <c r="B4066" t="s">
        <v>126</v>
      </c>
      <c r="E4066" s="3">
        <f>HYPERLINK("https://sao.dolgi.msk.ru/account/1404243871/", 1404243871)</f>
        <v>1404243871</v>
      </c>
      <c r="F4066">
        <v>-2082.5100000000002</v>
      </c>
    </row>
    <row r="4067" spans="1:6" hidden="1" x14ac:dyDescent="0.25">
      <c r="A4067" t="s">
        <v>657</v>
      </c>
      <c r="B4067" t="s">
        <v>127</v>
      </c>
      <c r="E4067" s="3">
        <f>HYPERLINK("https://sao.dolgi.msk.ru/account/1404243898/", 1404243898)</f>
        <v>1404243898</v>
      </c>
      <c r="F4067">
        <v>-2477.4299999999998</v>
      </c>
    </row>
    <row r="4068" spans="1:6" hidden="1" x14ac:dyDescent="0.25">
      <c r="A4068" t="s">
        <v>657</v>
      </c>
      <c r="B4068" t="s">
        <v>128</v>
      </c>
      <c r="E4068" s="3">
        <f>HYPERLINK("https://sao.dolgi.msk.ru/account/1404243548/", 1404243548)</f>
        <v>1404243548</v>
      </c>
      <c r="F4068">
        <v>-3261.08</v>
      </c>
    </row>
    <row r="4069" spans="1:6" x14ac:dyDescent="0.25">
      <c r="A4069" t="s">
        <v>657</v>
      </c>
      <c r="B4069" t="s">
        <v>129</v>
      </c>
      <c r="C4069" s="5" t="str">
        <f t="shared" ref="C4069:C4071" si="185">" кв. "&amp;B4069</f>
        <v xml:space="preserve"> кв. 125</v>
      </c>
      <c r="D4069" s="5" t="str">
        <f>CONCATENATE(A4069,C4069)</f>
        <v>Валдайский пр., дом 9А к.1 кв. 125</v>
      </c>
      <c r="E4069" s="3">
        <f>HYPERLINK("https://sao.dolgi.msk.ru/account/1404244508/", 1404244508)</f>
        <v>1404244508</v>
      </c>
      <c r="F4069">
        <v>2432.35</v>
      </c>
    </row>
    <row r="4070" spans="1:6" x14ac:dyDescent="0.25">
      <c r="A4070" t="s">
        <v>657</v>
      </c>
      <c r="B4070" t="s">
        <v>130</v>
      </c>
      <c r="C4070" s="5" t="str">
        <f t="shared" si="185"/>
        <v xml:space="preserve"> кв. 126</v>
      </c>
      <c r="D4070" s="5" t="str">
        <f>CONCATENATE(A4070,C4070)</f>
        <v>Валдайский пр., дом 9А к.1 кв. 126</v>
      </c>
      <c r="E4070" s="3">
        <f>HYPERLINK("https://sao.dolgi.msk.ru/account/1404245199/", 1404245199)</f>
        <v>1404245199</v>
      </c>
      <c r="F4070">
        <v>1698.53</v>
      </c>
    </row>
    <row r="4071" spans="1:6" x14ac:dyDescent="0.25">
      <c r="A4071" t="s">
        <v>657</v>
      </c>
      <c r="B4071" t="s">
        <v>131</v>
      </c>
      <c r="C4071" s="5" t="str">
        <f t="shared" si="185"/>
        <v xml:space="preserve"> кв. 127</v>
      </c>
      <c r="D4071" s="5" t="str">
        <f>CONCATENATE(A4071,C4071)</f>
        <v>Валдайский пр., дом 9А к.1 кв. 127</v>
      </c>
      <c r="E4071" s="3">
        <f>HYPERLINK("https://sao.dolgi.msk.ru/account/1404244276/", 1404244276)</f>
        <v>1404244276</v>
      </c>
      <c r="F4071">
        <v>1701.69</v>
      </c>
    </row>
    <row r="4072" spans="1:6" hidden="1" x14ac:dyDescent="0.25">
      <c r="A4072" t="s">
        <v>657</v>
      </c>
      <c r="B4072" t="s">
        <v>132</v>
      </c>
      <c r="E4072" s="3">
        <f>HYPERLINK("https://sao.dolgi.msk.ru/account/1404245201/", 1404245201)</f>
        <v>1404245201</v>
      </c>
      <c r="F4072">
        <v>-3545.12</v>
      </c>
    </row>
    <row r="4073" spans="1:6" x14ac:dyDescent="0.25">
      <c r="A4073" t="s">
        <v>657</v>
      </c>
      <c r="B4073" t="s">
        <v>133</v>
      </c>
      <c r="C4073" s="5" t="str">
        <f t="shared" ref="C4073:C4074" si="186">" кв. "&amp;B4073</f>
        <v xml:space="preserve"> кв. 129</v>
      </c>
      <c r="D4073" s="5" t="str">
        <f>CONCATENATE(A4073,C4073)</f>
        <v>Валдайский пр., дом 9А к.1 кв. 129</v>
      </c>
      <c r="E4073" s="3">
        <f>HYPERLINK("https://sao.dolgi.msk.ru/account/1404244516/", 1404244516)</f>
        <v>1404244516</v>
      </c>
      <c r="F4073">
        <v>2432.35</v>
      </c>
    </row>
    <row r="4074" spans="1:6" x14ac:dyDescent="0.25">
      <c r="A4074" t="s">
        <v>657</v>
      </c>
      <c r="B4074" t="s">
        <v>134</v>
      </c>
      <c r="C4074" s="5" t="str">
        <f t="shared" si="186"/>
        <v xml:space="preserve"> кв. 130</v>
      </c>
      <c r="D4074" s="5" t="str">
        <f>CONCATENATE(A4074,C4074)</f>
        <v>Валдайский пр., дом 9А к.1 кв. 130</v>
      </c>
      <c r="E4074" s="3">
        <f>HYPERLINK("https://sao.dolgi.msk.ru/account/1404244524/", 1404244524)</f>
        <v>1404244524</v>
      </c>
      <c r="F4074">
        <v>1692.21</v>
      </c>
    </row>
    <row r="4075" spans="1:6" hidden="1" x14ac:dyDescent="0.25">
      <c r="A4075" t="s">
        <v>657</v>
      </c>
      <c r="B4075" t="s">
        <v>135</v>
      </c>
      <c r="E4075" s="3">
        <f>HYPERLINK("https://sao.dolgi.msk.ru/account/1404245762/", 1404245762)</f>
        <v>1404245762</v>
      </c>
      <c r="F4075">
        <v>-2472.81</v>
      </c>
    </row>
    <row r="4076" spans="1:6" hidden="1" x14ac:dyDescent="0.25">
      <c r="A4076" t="s">
        <v>657</v>
      </c>
      <c r="B4076" t="s">
        <v>136</v>
      </c>
      <c r="E4076" s="3">
        <f>HYPERLINK("https://sao.dolgi.msk.ru/account/1404243919/", 1404243919)</f>
        <v>1404243919</v>
      </c>
      <c r="F4076">
        <v>-4188.72</v>
      </c>
    </row>
    <row r="4077" spans="1:6" hidden="1" x14ac:dyDescent="0.25">
      <c r="A4077" t="s">
        <v>657</v>
      </c>
      <c r="B4077" t="s">
        <v>137</v>
      </c>
      <c r="E4077" s="3">
        <f>HYPERLINK("https://sao.dolgi.msk.ru/account/1404243927/", 1404243927)</f>
        <v>1404243927</v>
      </c>
      <c r="F4077">
        <v>0</v>
      </c>
    </row>
    <row r="4078" spans="1:6" x14ac:dyDescent="0.25">
      <c r="A4078" t="s">
        <v>657</v>
      </c>
      <c r="B4078" t="s">
        <v>138</v>
      </c>
      <c r="C4078" s="5" t="str">
        <f>" кв. "&amp;B4078</f>
        <v xml:space="preserve"> кв. 134</v>
      </c>
      <c r="D4078" s="5" t="str">
        <f>CONCATENATE(A4078,C4078)</f>
        <v>Валдайский пр., дом 9А к.1 кв. 134</v>
      </c>
      <c r="E4078" s="3">
        <f>HYPERLINK("https://sao.dolgi.msk.ru/account/1404245228/", 1404245228)</f>
        <v>1404245228</v>
      </c>
      <c r="F4078">
        <v>943.4</v>
      </c>
    </row>
    <row r="4079" spans="1:6" hidden="1" x14ac:dyDescent="0.25">
      <c r="A4079" t="s">
        <v>657</v>
      </c>
      <c r="B4079" t="s">
        <v>139</v>
      </c>
      <c r="E4079" s="3">
        <f>HYPERLINK("https://sao.dolgi.msk.ru/account/1404245463/", 1404245463)</f>
        <v>1404245463</v>
      </c>
      <c r="F4079">
        <v>0</v>
      </c>
    </row>
    <row r="4080" spans="1:6" hidden="1" x14ac:dyDescent="0.25">
      <c r="A4080" t="s">
        <v>657</v>
      </c>
      <c r="B4080" t="s">
        <v>140</v>
      </c>
      <c r="E4080" s="3">
        <f>HYPERLINK("https://sao.dolgi.msk.ru/account/1404243564/", 1404243564)</f>
        <v>1404243564</v>
      </c>
      <c r="F4080">
        <v>-1676.5</v>
      </c>
    </row>
    <row r="4081" spans="1:6" x14ac:dyDescent="0.25">
      <c r="A4081" t="s">
        <v>657</v>
      </c>
      <c r="B4081" t="s">
        <v>140</v>
      </c>
      <c r="C4081" s="5" t="str">
        <f>" кв. "&amp;B4081</f>
        <v xml:space="preserve"> кв. 136</v>
      </c>
      <c r="D4081" s="5" t="str">
        <f>CONCATENATE(A4081,C4081)</f>
        <v>Валдайский пр., дом 9А к.1 кв. 136</v>
      </c>
      <c r="E4081" s="3">
        <f>HYPERLINK("https://sao.dolgi.msk.ru/account/1404243636/", 1404243636)</f>
        <v>1404243636</v>
      </c>
      <c r="F4081">
        <v>720.8</v>
      </c>
    </row>
    <row r="4082" spans="1:6" hidden="1" x14ac:dyDescent="0.25">
      <c r="A4082" t="s">
        <v>657</v>
      </c>
      <c r="B4082" t="s">
        <v>141</v>
      </c>
      <c r="E4082" s="3">
        <f>HYPERLINK("https://sao.dolgi.msk.ru/account/1404243935/", 1404243935)</f>
        <v>1404243935</v>
      </c>
      <c r="F4082">
        <v>-4284.66</v>
      </c>
    </row>
    <row r="4083" spans="1:6" hidden="1" x14ac:dyDescent="0.25">
      <c r="A4083" t="s">
        <v>657</v>
      </c>
      <c r="B4083" t="s">
        <v>142</v>
      </c>
      <c r="E4083" s="3">
        <f>HYPERLINK("https://sao.dolgi.msk.ru/account/1404245236/", 1404245236)</f>
        <v>1404245236</v>
      </c>
      <c r="F4083">
        <v>-1654.69</v>
      </c>
    </row>
    <row r="4084" spans="1:6" x14ac:dyDescent="0.25">
      <c r="A4084" t="s">
        <v>657</v>
      </c>
      <c r="B4084" t="s">
        <v>143</v>
      </c>
      <c r="C4084" s="5" t="str">
        <f>" кв. "&amp;B4084</f>
        <v xml:space="preserve"> кв. 139</v>
      </c>
      <c r="D4084" s="5" t="str">
        <f>CONCATENATE(A4084,C4084)</f>
        <v>Валдайский пр., дом 9А к.1 кв. 139</v>
      </c>
      <c r="E4084" s="3">
        <f>HYPERLINK("https://sao.dolgi.msk.ru/account/1404243505/", 1404243505)</f>
        <v>1404243505</v>
      </c>
      <c r="F4084">
        <v>1129.19</v>
      </c>
    </row>
    <row r="4085" spans="1:6" hidden="1" x14ac:dyDescent="0.25">
      <c r="A4085" t="s">
        <v>657</v>
      </c>
      <c r="B4085" t="s">
        <v>144</v>
      </c>
      <c r="E4085" s="3">
        <f>HYPERLINK("https://sao.dolgi.msk.ru/account/1404243492/", 1404243492)</f>
        <v>1404243492</v>
      </c>
      <c r="F4085">
        <v>0</v>
      </c>
    </row>
    <row r="4086" spans="1:6" hidden="1" x14ac:dyDescent="0.25">
      <c r="A4086" t="s">
        <v>657</v>
      </c>
      <c r="B4086" t="s">
        <v>145</v>
      </c>
      <c r="E4086" s="3">
        <f>HYPERLINK("https://sao.dolgi.msk.ru/account/1404244233/", 1404244233)</f>
        <v>1404244233</v>
      </c>
      <c r="F4086">
        <v>0</v>
      </c>
    </row>
    <row r="4087" spans="1:6" hidden="1" x14ac:dyDescent="0.25">
      <c r="A4087" t="s">
        <v>657</v>
      </c>
      <c r="B4087" t="s">
        <v>146</v>
      </c>
      <c r="E4087" s="3">
        <f>HYPERLINK("https://sao.dolgi.msk.ru/account/1404244241/", 1404244241)</f>
        <v>1404244241</v>
      </c>
      <c r="F4087">
        <v>0</v>
      </c>
    </row>
    <row r="4088" spans="1:6" hidden="1" x14ac:dyDescent="0.25">
      <c r="A4088" t="s">
        <v>657</v>
      </c>
      <c r="B4088" t="s">
        <v>147</v>
      </c>
      <c r="E4088" s="3">
        <f>HYPERLINK("https://sao.dolgi.msk.ru/account/1404245447/", 1404245447)</f>
        <v>1404245447</v>
      </c>
      <c r="F4088">
        <v>0</v>
      </c>
    </row>
    <row r="4089" spans="1:6" hidden="1" x14ac:dyDescent="0.25">
      <c r="A4089" t="s">
        <v>657</v>
      </c>
      <c r="B4089" t="s">
        <v>148</v>
      </c>
      <c r="E4089" s="3">
        <f>HYPERLINK("https://sao.dolgi.msk.ru/account/1404243839/", 1404243839)</f>
        <v>1404243839</v>
      </c>
      <c r="F4089">
        <v>-3538.33</v>
      </c>
    </row>
    <row r="4090" spans="1:6" x14ac:dyDescent="0.25">
      <c r="A4090" t="s">
        <v>657</v>
      </c>
      <c r="B4090" t="s">
        <v>149</v>
      </c>
      <c r="C4090" s="5" t="str">
        <f t="shared" ref="C4090:C4092" si="187">" кв. "&amp;B4090</f>
        <v xml:space="preserve"> кв. 145</v>
      </c>
      <c r="D4090" s="5" t="str">
        <f>CONCATENATE(A4090,C4090)</f>
        <v>Валдайский пр., дом 9А к.1 кв. 145</v>
      </c>
      <c r="E4090" s="3">
        <f>HYPERLINK("https://sao.dolgi.msk.ru/account/1404244532/", 1404244532)</f>
        <v>1404244532</v>
      </c>
      <c r="F4090">
        <v>586.41999999999996</v>
      </c>
    </row>
    <row r="4091" spans="1:6" x14ac:dyDescent="0.25">
      <c r="A4091" t="s">
        <v>657</v>
      </c>
      <c r="B4091" t="s">
        <v>149</v>
      </c>
      <c r="C4091" s="5" t="str">
        <f t="shared" si="187"/>
        <v xml:space="preserve"> кв. 145</v>
      </c>
      <c r="D4091" s="5" t="str">
        <f>CONCATENATE(A4091,C4091)</f>
        <v>Валдайский пр., дом 9А к.1 кв. 145</v>
      </c>
      <c r="E4091" s="3">
        <f>HYPERLINK("https://sao.dolgi.msk.ru/account/1404245148/", 1404245148)</f>
        <v>1404245148</v>
      </c>
      <c r="F4091">
        <v>2345.6799999999998</v>
      </c>
    </row>
    <row r="4092" spans="1:6" x14ac:dyDescent="0.25">
      <c r="A4092" t="s">
        <v>657</v>
      </c>
      <c r="B4092" t="s">
        <v>150</v>
      </c>
      <c r="C4092" s="5" t="str">
        <f t="shared" si="187"/>
        <v xml:space="preserve"> кв. 146</v>
      </c>
      <c r="D4092" s="5" t="str">
        <f>CONCATENATE(A4092,C4092)</f>
        <v>Валдайский пр., дом 9А к.1 кв. 146</v>
      </c>
      <c r="E4092" s="3">
        <f>HYPERLINK("https://sao.dolgi.msk.ru/account/1404244858/", 1404244858)</f>
        <v>1404244858</v>
      </c>
      <c r="F4092">
        <v>1122.8699999999999</v>
      </c>
    </row>
    <row r="4093" spans="1:6" hidden="1" x14ac:dyDescent="0.25">
      <c r="A4093" t="s">
        <v>657</v>
      </c>
      <c r="B4093" t="s">
        <v>151</v>
      </c>
      <c r="E4093" s="3">
        <f>HYPERLINK("https://sao.dolgi.msk.ru/account/1404244268/", 1404244268)</f>
        <v>1404244268</v>
      </c>
      <c r="F4093">
        <v>-1650.07</v>
      </c>
    </row>
    <row r="4094" spans="1:6" hidden="1" x14ac:dyDescent="0.25">
      <c r="A4094" t="s">
        <v>657</v>
      </c>
      <c r="B4094" t="s">
        <v>152</v>
      </c>
      <c r="E4094" s="3">
        <f>HYPERLINK("https://sao.dolgi.msk.ru/account/1404245156/", 1404245156)</f>
        <v>1404245156</v>
      </c>
      <c r="F4094">
        <v>-4206.09</v>
      </c>
    </row>
    <row r="4095" spans="1:6" hidden="1" x14ac:dyDescent="0.25">
      <c r="A4095" t="s">
        <v>657</v>
      </c>
      <c r="B4095" t="s">
        <v>153</v>
      </c>
      <c r="E4095" s="3">
        <f>HYPERLINK("https://sao.dolgi.msk.ru/account/1404244487/", 1404244487)</f>
        <v>1404244487</v>
      </c>
      <c r="F4095">
        <v>-4293.91</v>
      </c>
    </row>
    <row r="4096" spans="1:6" hidden="1" x14ac:dyDescent="0.25">
      <c r="A4096" t="s">
        <v>657</v>
      </c>
      <c r="B4096" t="s">
        <v>154</v>
      </c>
      <c r="E4096" s="3">
        <f>HYPERLINK("https://sao.dolgi.msk.ru/account/1404243513/", 1404243513)</f>
        <v>1404243513</v>
      </c>
      <c r="F4096">
        <v>-1640.83</v>
      </c>
    </row>
    <row r="4097" spans="1:6" hidden="1" x14ac:dyDescent="0.25">
      <c r="A4097" t="s">
        <v>657</v>
      </c>
      <c r="B4097" t="s">
        <v>155</v>
      </c>
      <c r="E4097" s="3">
        <f>HYPERLINK("https://sao.dolgi.msk.ru/account/1404244866/", 1404244866)</f>
        <v>1404244866</v>
      </c>
      <c r="F4097">
        <v>-1393.51</v>
      </c>
    </row>
    <row r="4098" spans="1:6" hidden="1" x14ac:dyDescent="0.25">
      <c r="A4098" t="s">
        <v>657</v>
      </c>
      <c r="B4098" t="s">
        <v>156</v>
      </c>
      <c r="E4098" s="3">
        <f>HYPERLINK("https://sao.dolgi.msk.ru/account/1404243847/", 1404243847)</f>
        <v>1404243847</v>
      </c>
      <c r="F4098">
        <v>-4196.84</v>
      </c>
    </row>
    <row r="4099" spans="1:6" hidden="1" x14ac:dyDescent="0.25">
      <c r="A4099" t="s">
        <v>657</v>
      </c>
      <c r="B4099" t="s">
        <v>157</v>
      </c>
      <c r="E4099" s="3">
        <f>HYPERLINK("https://sao.dolgi.msk.ru/account/1404243775/", 1404243775)</f>
        <v>1404243775</v>
      </c>
      <c r="F4099">
        <v>0</v>
      </c>
    </row>
    <row r="4100" spans="1:6" x14ac:dyDescent="0.25">
      <c r="A4100" t="s">
        <v>657</v>
      </c>
      <c r="B4100" t="s">
        <v>158</v>
      </c>
      <c r="C4100" s="5" t="str">
        <f>" кв. "&amp;B4100</f>
        <v xml:space="preserve"> кв. 154</v>
      </c>
      <c r="D4100" s="5" t="str">
        <f>CONCATENATE(A4100,C4100)</f>
        <v>Валдайский пр., дом 9А к.1 кв. 154</v>
      </c>
      <c r="E4100" s="3">
        <f>HYPERLINK("https://sao.dolgi.msk.ru/account/1404244436/", 1404244436)</f>
        <v>1404244436</v>
      </c>
      <c r="F4100">
        <v>1695.37</v>
      </c>
    </row>
    <row r="4101" spans="1:6" hidden="1" x14ac:dyDescent="0.25">
      <c r="A4101" t="s">
        <v>657</v>
      </c>
      <c r="B4101" t="s">
        <v>159</v>
      </c>
      <c r="E4101" s="3">
        <f>HYPERLINK("https://sao.dolgi.msk.ru/account/1404244751/", 1404244751)</f>
        <v>1404244751</v>
      </c>
      <c r="F4101">
        <v>-783.52</v>
      </c>
    </row>
    <row r="4102" spans="1:6" x14ac:dyDescent="0.25">
      <c r="A4102" t="s">
        <v>657</v>
      </c>
      <c r="B4102" t="s">
        <v>160</v>
      </c>
      <c r="C4102" s="5" t="str">
        <f>" кв. "&amp;B4102</f>
        <v xml:space="preserve"> кв. 156</v>
      </c>
      <c r="D4102" s="5" t="str">
        <f>CONCATENATE(A4102,C4102)</f>
        <v>Валдайский пр., дом 9А к.1 кв. 156</v>
      </c>
      <c r="E4102" s="3">
        <f>HYPERLINK("https://sao.dolgi.msk.ru/account/1404244778/", 1404244778)</f>
        <v>1404244778</v>
      </c>
      <c r="F4102">
        <v>2365.92</v>
      </c>
    </row>
    <row r="4103" spans="1:6" hidden="1" x14ac:dyDescent="0.25">
      <c r="A4103" t="s">
        <v>657</v>
      </c>
      <c r="B4103" t="s">
        <v>161</v>
      </c>
      <c r="E4103" s="3">
        <f>HYPERLINK("https://sao.dolgi.msk.ru/account/1404245068/", 1404245068)</f>
        <v>1404245068</v>
      </c>
      <c r="F4103">
        <v>-876.9</v>
      </c>
    </row>
    <row r="4104" spans="1:6" x14ac:dyDescent="0.25">
      <c r="A4104" t="s">
        <v>657</v>
      </c>
      <c r="B4104" t="s">
        <v>162</v>
      </c>
      <c r="C4104" s="5" t="str">
        <f t="shared" ref="C4104:C4106" si="188">" кв. "&amp;B4104</f>
        <v xml:space="preserve"> кв. 158</v>
      </c>
      <c r="D4104" s="5" t="str">
        <f>CONCATENATE(A4104,C4104)</f>
        <v>Валдайский пр., дом 9А к.1 кв. 158</v>
      </c>
      <c r="E4104" s="3">
        <f>HYPERLINK("https://sao.dolgi.msk.ru/account/1404243986/", 1404243986)</f>
        <v>1404243986</v>
      </c>
      <c r="F4104">
        <v>339.07</v>
      </c>
    </row>
    <row r="4105" spans="1:6" x14ac:dyDescent="0.25">
      <c r="A4105" t="s">
        <v>657</v>
      </c>
      <c r="B4105" t="s">
        <v>162</v>
      </c>
      <c r="C4105" s="5" t="str">
        <f t="shared" si="188"/>
        <v xml:space="preserve"> кв. 158</v>
      </c>
      <c r="D4105" s="5" t="str">
        <f>CONCATENATE(A4105,C4105)</f>
        <v>Валдайский пр., дом 9А к.1 кв. 158</v>
      </c>
      <c r="E4105" s="3">
        <f>HYPERLINK("https://sao.dolgi.msk.ru/account/1404245412/", 1404245412)</f>
        <v>1404245412</v>
      </c>
      <c r="F4105">
        <v>1356.29</v>
      </c>
    </row>
    <row r="4106" spans="1:6" x14ac:dyDescent="0.25">
      <c r="A4106" t="s">
        <v>657</v>
      </c>
      <c r="B4106" t="s">
        <v>163</v>
      </c>
      <c r="C4106" s="5" t="str">
        <f t="shared" si="188"/>
        <v xml:space="preserve"> кв. 159</v>
      </c>
      <c r="D4106" s="5" t="str">
        <f>CONCATENATE(A4106,C4106)</f>
        <v>Валдайский пр., дом 9А к.1 кв. 159</v>
      </c>
      <c r="E4106" s="3">
        <f>HYPERLINK("https://sao.dolgi.msk.ru/account/1404243468/", 1404243468)</f>
        <v>1404243468</v>
      </c>
      <c r="F4106">
        <v>1695.37</v>
      </c>
    </row>
    <row r="4107" spans="1:6" hidden="1" x14ac:dyDescent="0.25">
      <c r="A4107" t="s">
        <v>657</v>
      </c>
      <c r="B4107" t="s">
        <v>164</v>
      </c>
      <c r="E4107" s="3">
        <f>HYPERLINK("https://sao.dolgi.msk.ru/account/1404244444/", 1404244444)</f>
        <v>1404244444</v>
      </c>
      <c r="F4107">
        <v>0</v>
      </c>
    </row>
    <row r="4108" spans="1:6" hidden="1" x14ac:dyDescent="0.25">
      <c r="A4108" t="s">
        <v>657</v>
      </c>
      <c r="B4108" t="s">
        <v>165</v>
      </c>
      <c r="E4108" s="3">
        <f>HYPERLINK("https://sao.dolgi.msk.ru/account/1404243783/", 1404243783)</f>
        <v>1404243783</v>
      </c>
      <c r="F4108">
        <v>-2773.24</v>
      </c>
    </row>
    <row r="4109" spans="1:6" hidden="1" x14ac:dyDescent="0.25">
      <c r="A4109" t="s">
        <v>657</v>
      </c>
      <c r="B4109" t="s">
        <v>166</v>
      </c>
      <c r="E4109" s="3">
        <f>HYPERLINK("https://sao.dolgi.msk.ru/account/1404244786/", 1404244786)</f>
        <v>1404244786</v>
      </c>
      <c r="F4109">
        <v>-2468.1799999999998</v>
      </c>
    </row>
    <row r="4110" spans="1:6" hidden="1" x14ac:dyDescent="0.25">
      <c r="A4110" t="s">
        <v>657</v>
      </c>
      <c r="B4110" t="s">
        <v>167</v>
      </c>
      <c r="E4110" s="3">
        <f>HYPERLINK("https://sao.dolgi.msk.ru/account/1404245076/", 1404245076)</f>
        <v>1404245076</v>
      </c>
      <c r="F4110">
        <v>-782.06</v>
      </c>
    </row>
    <row r="4111" spans="1:6" hidden="1" x14ac:dyDescent="0.25">
      <c r="A4111" t="s">
        <v>657</v>
      </c>
      <c r="B4111" t="s">
        <v>168</v>
      </c>
      <c r="E4111" s="3">
        <f>HYPERLINK("https://sao.dolgi.msk.ru/account/1404245682/", 1404245682)</f>
        <v>1404245682</v>
      </c>
      <c r="F4111">
        <v>-3457.3</v>
      </c>
    </row>
    <row r="4112" spans="1:6" x14ac:dyDescent="0.25">
      <c r="A4112" t="s">
        <v>657</v>
      </c>
      <c r="B4112" t="s">
        <v>169</v>
      </c>
      <c r="C4112" s="5" t="str">
        <f>" кв. "&amp;B4112</f>
        <v xml:space="preserve"> кв. 165</v>
      </c>
      <c r="D4112" s="5" t="str">
        <f>CONCATENATE(A4112,C4112)</f>
        <v>Валдайский пр., дом 9А к.1 кв. 165</v>
      </c>
      <c r="E4112" s="3">
        <f>HYPERLINK("https://sao.dolgi.msk.ru/account/1404244794/", 1404244794)</f>
        <v>1404244794</v>
      </c>
      <c r="F4112">
        <v>2416.5300000000002</v>
      </c>
    </row>
    <row r="4113" spans="1:6" hidden="1" x14ac:dyDescent="0.25">
      <c r="A4113" t="s">
        <v>657</v>
      </c>
      <c r="B4113" t="s">
        <v>170</v>
      </c>
      <c r="E4113" s="3">
        <f>HYPERLINK("https://sao.dolgi.msk.ru/account/1404245084/", 1404245084)</f>
        <v>1404245084</v>
      </c>
      <c r="F4113">
        <v>-1705.54</v>
      </c>
    </row>
    <row r="4114" spans="1:6" hidden="1" x14ac:dyDescent="0.25">
      <c r="A4114" t="s">
        <v>657</v>
      </c>
      <c r="B4114" t="s">
        <v>171</v>
      </c>
      <c r="E4114" s="3">
        <f>HYPERLINK("https://sao.dolgi.msk.ru/account/1404244161/", 1404244161)</f>
        <v>1404244161</v>
      </c>
      <c r="F4114">
        <v>-1392.04</v>
      </c>
    </row>
    <row r="4115" spans="1:6" hidden="1" x14ac:dyDescent="0.25">
      <c r="A4115" t="s">
        <v>657</v>
      </c>
      <c r="B4115" t="s">
        <v>172</v>
      </c>
      <c r="E4115" s="3">
        <f>HYPERLINK("https://sao.dolgi.msk.ru/account/1404243791/", 1404243791)</f>
        <v>1404243791</v>
      </c>
      <c r="F4115">
        <v>-3457.3</v>
      </c>
    </row>
    <row r="4116" spans="1:6" x14ac:dyDescent="0.25">
      <c r="A4116" t="s">
        <v>657</v>
      </c>
      <c r="B4116" t="s">
        <v>173</v>
      </c>
      <c r="C4116" s="5" t="str">
        <f>" кв. "&amp;B4116</f>
        <v xml:space="preserve"> кв. 169</v>
      </c>
      <c r="D4116" s="5" t="str">
        <f>CONCATENATE(A4116,C4116)</f>
        <v>Валдайский пр., дом 9А к.1 кв. 169</v>
      </c>
      <c r="E4116" s="3">
        <f>HYPERLINK("https://sao.dolgi.msk.ru/account/1404244807/", 1404244807)</f>
        <v>1404244807</v>
      </c>
      <c r="F4116">
        <v>2426.0100000000002</v>
      </c>
    </row>
    <row r="4117" spans="1:6" hidden="1" x14ac:dyDescent="0.25">
      <c r="A4117" t="s">
        <v>657</v>
      </c>
      <c r="B4117" t="s">
        <v>174</v>
      </c>
      <c r="E4117" s="3">
        <f>HYPERLINK("https://sao.dolgi.msk.ru/account/1404245092/", 1404245092)</f>
        <v>1404245092</v>
      </c>
      <c r="F4117">
        <v>-1719.41</v>
      </c>
    </row>
    <row r="4118" spans="1:6" x14ac:dyDescent="0.25">
      <c r="A4118" t="s">
        <v>657</v>
      </c>
      <c r="B4118" t="s">
        <v>175</v>
      </c>
      <c r="C4118" s="5" t="str">
        <f>" кв. "&amp;B4118</f>
        <v xml:space="preserve"> кв. 171</v>
      </c>
      <c r="D4118" s="5" t="str">
        <f>CONCATENATE(A4118,C4118)</f>
        <v>Валдайский пр., дом 9А к.1 кв. 171</v>
      </c>
      <c r="E4118" s="3">
        <f>HYPERLINK("https://sao.dolgi.msk.ru/account/1404243724/", 1404243724)</f>
        <v>1404243724</v>
      </c>
      <c r="F4118">
        <v>1695.37</v>
      </c>
    </row>
    <row r="4119" spans="1:6" hidden="1" x14ac:dyDescent="0.25">
      <c r="A4119" t="s">
        <v>657</v>
      </c>
      <c r="B4119" t="s">
        <v>176</v>
      </c>
      <c r="E4119" s="3">
        <f>HYPERLINK("https://sao.dolgi.msk.ru/account/1404245631/", 1404245631)</f>
        <v>1404245631</v>
      </c>
      <c r="F4119">
        <v>-2694.66</v>
      </c>
    </row>
    <row r="4120" spans="1:6" hidden="1" x14ac:dyDescent="0.25">
      <c r="A4120" t="s">
        <v>657</v>
      </c>
      <c r="B4120" t="s">
        <v>177</v>
      </c>
      <c r="E4120" s="3">
        <f>HYPERLINK("https://sao.dolgi.msk.ru/account/1404244129/", 1404244129)</f>
        <v>1404244129</v>
      </c>
      <c r="F4120">
        <v>-3545.12</v>
      </c>
    </row>
    <row r="4121" spans="1:6" hidden="1" x14ac:dyDescent="0.25">
      <c r="A4121" t="s">
        <v>657</v>
      </c>
      <c r="B4121" t="s">
        <v>178</v>
      </c>
      <c r="E4121" s="3">
        <f>HYPERLINK("https://sao.dolgi.msk.ru/account/1404245658/", 1404245658)</f>
        <v>1404245658</v>
      </c>
      <c r="F4121">
        <v>-1568.39</v>
      </c>
    </row>
    <row r="4122" spans="1:6" x14ac:dyDescent="0.25">
      <c r="A4122" t="s">
        <v>657</v>
      </c>
      <c r="B4122" t="s">
        <v>179</v>
      </c>
      <c r="C4122" s="5" t="str">
        <f>" кв. "&amp;B4122</f>
        <v xml:space="preserve"> кв. 175</v>
      </c>
      <c r="D4122" s="5" t="str">
        <f>CONCATENATE(A4122,C4122)</f>
        <v>Валдайский пр., дом 9А к.1 кв. 175</v>
      </c>
      <c r="E4122" s="3">
        <f>HYPERLINK("https://sao.dolgi.msk.ru/account/1404243441/", 1404243441)</f>
        <v>1404243441</v>
      </c>
      <c r="F4122">
        <v>1698.53</v>
      </c>
    </row>
    <row r="4123" spans="1:6" hidden="1" x14ac:dyDescent="0.25">
      <c r="A4123" t="s">
        <v>657</v>
      </c>
      <c r="B4123" t="s">
        <v>180</v>
      </c>
      <c r="E4123" s="3">
        <f>HYPERLINK("https://sao.dolgi.msk.ru/account/1404244137/", 1404244137)</f>
        <v>1404244137</v>
      </c>
      <c r="F4123">
        <v>0</v>
      </c>
    </row>
    <row r="4124" spans="1:6" x14ac:dyDescent="0.25">
      <c r="A4124" t="s">
        <v>657</v>
      </c>
      <c r="B4124" t="s">
        <v>181</v>
      </c>
      <c r="C4124" s="5" t="str">
        <f>" кв. "&amp;B4124</f>
        <v xml:space="preserve"> кв. 177</v>
      </c>
      <c r="D4124" s="5" t="str">
        <f>CONCATENATE(A4124,C4124)</f>
        <v>Валдайский пр., дом 9А к.1 кв. 177</v>
      </c>
      <c r="E4124" s="3">
        <f>HYPERLINK("https://sao.dolgi.msk.ru/account/1404244145/", 1404244145)</f>
        <v>1404244145</v>
      </c>
      <c r="F4124">
        <v>2419.6999999999998</v>
      </c>
    </row>
    <row r="4125" spans="1:6" hidden="1" x14ac:dyDescent="0.25">
      <c r="A4125" t="s">
        <v>657</v>
      </c>
      <c r="B4125" t="s">
        <v>182</v>
      </c>
      <c r="E4125" s="3">
        <f>HYPERLINK("https://sao.dolgi.msk.ru/account/1404245375/", 1404245375)</f>
        <v>1404245375</v>
      </c>
      <c r="F4125">
        <v>-2086.39</v>
      </c>
    </row>
    <row r="4126" spans="1:6" hidden="1" x14ac:dyDescent="0.25">
      <c r="A4126" t="s">
        <v>657</v>
      </c>
      <c r="B4126" t="s">
        <v>183</v>
      </c>
      <c r="E4126" s="3">
        <f>HYPERLINK("https://sao.dolgi.msk.ru/account/1404245666/", 1404245666)</f>
        <v>1404245666</v>
      </c>
      <c r="F4126">
        <v>0</v>
      </c>
    </row>
    <row r="4127" spans="1:6" hidden="1" x14ac:dyDescent="0.25">
      <c r="A4127" t="s">
        <v>657</v>
      </c>
      <c r="B4127" t="s">
        <v>184</v>
      </c>
      <c r="E4127" s="3">
        <f>HYPERLINK("https://sao.dolgi.msk.ru/account/1404243732/", 1404243732)</f>
        <v>1404243732</v>
      </c>
      <c r="F4127">
        <v>-2680.13</v>
      </c>
    </row>
    <row r="4128" spans="1:6" hidden="1" x14ac:dyDescent="0.25">
      <c r="A4128" t="s">
        <v>657</v>
      </c>
      <c r="B4128" t="s">
        <v>185</v>
      </c>
      <c r="E4128" s="3">
        <f>HYPERLINK("https://sao.dolgi.msk.ru/account/1404244153/", 1404244153)</f>
        <v>1404244153</v>
      </c>
      <c r="F4128">
        <v>-3535.88</v>
      </c>
    </row>
    <row r="4129" spans="1:6" hidden="1" x14ac:dyDescent="0.25">
      <c r="A4129" t="s">
        <v>657</v>
      </c>
      <c r="B4129" t="s">
        <v>186</v>
      </c>
      <c r="E4129" s="3">
        <f>HYPERLINK("https://sao.dolgi.msk.ru/account/1404243759/", 1404243759)</f>
        <v>1404243759</v>
      </c>
      <c r="F4129">
        <v>-1572.46</v>
      </c>
    </row>
    <row r="4130" spans="1:6" hidden="1" x14ac:dyDescent="0.25">
      <c r="A4130" t="s">
        <v>657</v>
      </c>
      <c r="B4130" t="s">
        <v>187</v>
      </c>
      <c r="E4130" s="3">
        <f>HYPERLINK("https://sao.dolgi.msk.ru/account/1404243767/", 1404243767)</f>
        <v>1404243767</v>
      </c>
      <c r="F4130">
        <v>-2082.5100000000002</v>
      </c>
    </row>
    <row r="4131" spans="1:6" hidden="1" x14ac:dyDescent="0.25">
      <c r="A4131" t="s">
        <v>657</v>
      </c>
      <c r="B4131" t="s">
        <v>188</v>
      </c>
      <c r="E4131" s="3">
        <f>HYPERLINK("https://sao.dolgi.msk.ru/account/1404244372/", 1404244372)</f>
        <v>1404244372</v>
      </c>
      <c r="F4131">
        <v>-3461.93</v>
      </c>
    </row>
    <row r="4132" spans="1:6" hidden="1" x14ac:dyDescent="0.25">
      <c r="A4132" t="s">
        <v>657</v>
      </c>
      <c r="B4132" t="s">
        <v>189</v>
      </c>
      <c r="E4132" s="3">
        <f>HYPERLINK("https://sao.dolgi.msk.ru/account/1404245017/", 1404245017)</f>
        <v>1404245017</v>
      </c>
      <c r="F4132">
        <v>-3540.49</v>
      </c>
    </row>
    <row r="4133" spans="1:6" x14ac:dyDescent="0.25">
      <c r="A4133" t="s">
        <v>657</v>
      </c>
      <c r="B4133" t="s">
        <v>190</v>
      </c>
      <c r="C4133" s="5" t="str">
        <f>" кв. "&amp;B4133</f>
        <v xml:space="preserve"> кв. 186</v>
      </c>
      <c r="D4133" s="5" t="str">
        <f>CONCATENATE(A4133,C4133)</f>
        <v>Валдайский пр., дом 9А к.1 кв. 186</v>
      </c>
      <c r="E4133" s="3">
        <f>HYPERLINK("https://sao.dolgi.msk.ru/account/1404244938/", 1404244938)</f>
        <v>1404244938</v>
      </c>
      <c r="F4133">
        <v>1698.53</v>
      </c>
    </row>
    <row r="4134" spans="1:6" hidden="1" x14ac:dyDescent="0.25">
      <c r="A4134" t="s">
        <v>657</v>
      </c>
      <c r="B4134" t="s">
        <v>191</v>
      </c>
      <c r="E4134" s="3">
        <f>HYPERLINK("https://sao.dolgi.msk.ru/account/1404244671/", 1404244671)</f>
        <v>1404244671</v>
      </c>
      <c r="F4134">
        <v>-1241.02</v>
      </c>
    </row>
    <row r="4135" spans="1:6" hidden="1" x14ac:dyDescent="0.25">
      <c r="A4135" t="s">
        <v>657</v>
      </c>
      <c r="B4135" t="s">
        <v>192</v>
      </c>
      <c r="E4135" s="3">
        <f>HYPERLINK("https://sao.dolgi.msk.ru/account/1404245308/", 1404245308)</f>
        <v>1404245308</v>
      </c>
      <c r="F4135">
        <v>-3461.93</v>
      </c>
    </row>
    <row r="4136" spans="1:6" hidden="1" x14ac:dyDescent="0.25">
      <c r="A4136" t="s">
        <v>657</v>
      </c>
      <c r="B4136" t="s">
        <v>193</v>
      </c>
      <c r="E4136" s="3">
        <f>HYPERLINK("https://sao.dolgi.msk.ru/account/1404244698/", 1404244698)</f>
        <v>1404244698</v>
      </c>
      <c r="F4136">
        <v>0</v>
      </c>
    </row>
    <row r="4137" spans="1:6" hidden="1" x14ac:dyDescent="0.25">
      <c r="A4137" t="s">
        <v>657</v>
      </c>
      <c r="B4137" t="s">
        <v>194</v>
      </c>
      <c r="E4137" s="3">
        <f>HYPERLINK("https://sao.dolgi.msk.ru/account/1404244719/", 1404244719)</f>
        <v>1404244719</v>
      </c>
      <c r="F4137">
        <v>-1714.79</v>
      </c>
    </row>
    <row r="4138" spans="1:6" x14ac:dyDescent="0.25">
      <c r="A4138" t="s">
        <v>657</v>
      </c>
      <c r="B4138" t="s">
        <v>195</v>
      </c>
      <c r="C4138" s="5" t="str">
        <f>" кв. "&amp;B4138</f>
        <v xml:space="preserve"> кв. 191</v>
      </c>
      <c r="D4138" s="5" t="str">
        <f>CONCATENATE(A4138,C4138)</f>
        <v>Валдайский пр., дом 9А к.1 кв. 191</v>
      </c>
      <c r="E4138" s="3">
        <f>HYPERLINK("https://sao.dolgi.msk.ru/account/1404243695/", 1404243695)</f>
        <v>1404243695</v>
      </c>
      <c r="F4138">
        <v>1695.37</v>
      </c>
    </row>
    <row r="4139" spans="1:6" hidden="1" x14ac:dyDescent="0.25">
      <c r="A4139" t="s">
        <v>657</v>
      </c>
      <c r="B4139" t="s">
        <v>196</v>
      </c>
      <c r="E4139" s="3">
        <f>HYPERLINK("https://sao.dolgi.msk.ru/account/1404244727/", 1404244727)</f>
        <v>1404244727</v>
      </c>
      <c r="F4139">
        <v>-2694.66</v>
      </c>
    </row>
    <row r="4140" spans="1:6" x14ac:dyDescent="0.25">
      <c r="A4140" t="s">
        <v>657</v>
      </c>
      <c r="B4140" t="s">
        <v>197</v>
      </c>
      <c r="C4140" s="5" t="str">
        <f t="shared" ref="C4140:C4141" si="189">" кв. "&amp;B4140</f>
        <v xml:space="preserve"> кв. 193</v>
      </c>
      <c r="D4140" s="5" t="str">
        <f>CONCATENATE(A4140,C4140)</f>
        <v>Валдайский пр., дом 9А к.1 кв. 193</v>
      </c>
      <c r="E4140" s="3">
        <f>HYPERLINK("https://sao.dolgi.msk.ru/account/1404244735/", 1404244735)</f>
        <v>1404244735</v>
      </c>
      <c r="F4140">
        <v>2422.86</v>
      </c>
    </row>
    <row r="4141" spans="1:6" x14ac:dyDescent="0.25">
      <c r="A4141" t="s">
        <v>657</v>
      </c>
      <c r="B4141" t="s">
        <v>198</v>
      </c>
      <c r="C4141" s="5" t="str">
        <f t="shared" si="189"/>
        <v xml:space="preserve"> кв. 194</v>
      </c>
      <c r="D4141" s="5" t="str">
        <f>CONCATENATE(A4141,C4141)</f>
        <v>Валдайский пр., дом 9А к.1 кв. 194</v>
      </c>
      <c r="E4141" s="3">
        <f>HYPERLINK("https://sao.dolgi.msk.ru/account/1404245316/", 1404245316)</f>
        <v>1404245316</v>
      </c>
      <c r="F4141">
        <v>1698.53</v>
      </c>
    </row>
    <row r="4142" spans="1:6" hidden="1" x14ac:dyDescent="0.25">
      <c r="A4142" t="s">
        <v>657</v>
      </c>
      <c r="B4142" t="s">
        <v>199</v>
      </c>
      <c r="E4142" s="3">
        <f>HYPERLINK("https://sao.dolgi.msk.ru/account/1404244399/", 1404244399)</f>
        <v>1404244399</v>
      </c>
      <c r="F4142">
        <v>0</v>
      </c>
    </row>
    <row r="4143" spans="1:6" hidden="1" x14ac:dyDescent="0.25">
      <c r="A4143" t="s">
        <v>657</v>
      </c>
      <c r="B4143" t="s">
        <v>200</v>
      </c>
      <c r="E4143" s="3">
        <f>HYPERLINK("https://sao.dolgi.msk.ru/account/1404243409/", 1404243409)</f>
        <v>1404243409</v>
      </c>
      <c r="F4143">
        <v>-3452.68</v>
      </c>
    </row>
    <row r="4144" spans="1:6" hidden="1" x14ac:dyDescent="0.25">
      <c r="A4144" t="s">
        <v>657</v>
      </c>
      <c r="B4144" t="s">
        <v>201</v>
      </c>
      <c r="E4144" s="3">
        <f>HYPERLINK("https://sao.dolgi.msk.ru/account/1404245009/", 1404245009)</f>
        <v>1404245009</v>
      </c>
      <c r="F4144">
        <v>-6757.46</v>
      </c>
    </row>
    <row r="4145" spans="1:6" hidden="1" x14ac:dyDescent="0.25">
      <c r="A4145" t="s">
        <v>657</v>
      </c>
      <c r="B4145" t="s">
        <v>202</v>
      </c>
      <c r="E4145" s="3">
        <f>HYPERLINK("https://sao.dolgi.msk.ru/account/1404245324/", 1404245324)</f>
        <v>1404245324</v>
      </c>
      <c r="F4145">
        <v>-2477.4299999999998</v>
      </c>
    </row>
    <row r="4146" spans="1:6" x14ac:dyDescent="0.25">
      <c r="A4146" t="s">
        <v>657</v>
      </c>
      <c r="B4146" t="s">
        <v>203</v>
      </c>
      <c r="C4146" s="5" t="str">
        <f t="shared" ref="C4146:C4147" si="190">" кв. "&amp;B4146</f>
        <v xml:space="preserve"> кв. 199</v>
      </c>
      <c r="D4146" s="5" t="str">
        <f>CONCATENATE(A4146,C4146)</f>
        <v>Валдайский пр., дом 9А к.1 кв. 199</v>
      </c>
      <c r="E4146" s="3">
        <f>HYPERLINK("https://sao.dolgi.msk.ru/account/1404244364/", 1404244364)</f>
        <v>1404244364</v>
      </c>
      <c r="F4146">
        <v>1271.53</v>
      </c>
    </row>
    <row r="4147" spans="1:6" x14ac:dyDescent="0.25">
      <c r="A4147" t="s">
        <v>657</v>
      </c>
      <c r="B4147" t="s">
        <v>203</v>
      </c>
      <c r="C4147" s="5" t="str">
        <f t="shared" si="190"/>
        <v xml:space="preserve"> кв. 199</v>
      </c>
      <c r="D4147" s="5" t="str">
        <f>CONCATENATE(A4147,C4147)</f>
        <v>Валдайский пр., дом 9А к.1 кв. 199</v>
      </c>
      <c r="E4147" s="3">
        <f>HYPERLINK("https://sao.dolgi.msk.ru/account/1404245332/", 1404245332)</f>
        <v>1404245332</v>
      </c>
      <c r="F4147">
        <v>423.84</v>
      </c>
    </row>
    <row r="4148" spans="1:6" hidden="1" x14ac:dyDescent="0.25">
      <c r="A4148" t="s">
        <v>657</v>
      </c>
      <c r="B4148" t="s">
        <v>204</v>
      </c>
      <c r="E4148" s="3">
        <f>HYPERLINK("https://sao.dolgi.msk.ru/account/1404245164/", 1404245164)</f>
        <v>1404245164</v>
      </c>
      <c r="F4148">
        <v>-3471.17</v>
      </c>
    </row>
    <row r="4149" spans="1:6" hidden="1" x14ac:dyDescent="0.25">
      <c r="A4149" t="s">
        <v>658</v>
      </c>
      <c r="B4149" t="s">
        <v>5</v>
      </c>
      <c r="E4149" s="3">
        <f>HYPERLINK("https://sao.dolgi.msk.ru/account/1404250289/", 1404250289)</f>
        <v>1404250289</v>
      </c>
      <c r="F4149">
        <v>-2921.16</v>
      </c>
    </row>
    <row r="4150" spans="1:6" hidden="1" x14ac:dyDescent="0.25">
      <c r="A4150" t="s">
        <v>658</v>
      </c>
      <c r="B4150" t="s">
        <v>6</v>
      </c>
      <c r="E4150" s="3">
        <f>HYPERLINK("https://sao.dolgi.msk.ru/account/1404248074/", 1404248074)</f>
        <v>1404248074</v>
      </c>
      <c r="F4150">
        <v>-2319.88</v>
      </c>
    </row>
    <row r="4151" spans="1:6" hidden="1" x14ac:dyDescent="0.25">
      <c r="A4151" t="s">
        <v>658</v>
      </c>
      <c r="B4151" t="s">
        <v>7</v>
      </c>
      <c r="E4151" s="3">
        <f>HYPERLINK("https://sao.dolgi.msk.ru/account/1404249544/", 1404249544)</f>
        <v>1404249544</v>
      </c>
      <c r="F4151">
        <v>-1338.09</v>
      </c>
    </row>
    <row r="4152" spans="1:6" x14ac:dyDescent="0.25">
      <c r="A4152" t="s">
        <v>658</v>
      </c>
      <c r="B4152" t="s">
        <v>8</v>
      </c>
      <c r="C4152" s="5" t="str">
        <f t="shared" ref="C4152:C4154" si="191">" кв. "&amp;B4152</f>
        <v xml:space="preserve"> кв. 4</v>
      </c>
      <c r="D4152" s="5" t="str">
        <f>CONCATENATE(A4152,C4152)</f>
        <v>Валдайский пр., дом 10 к.1 кв. 4</v>
      </c>
      <c r="E4152" s="3">
        <f>HYPERLINK("https://sao.dolgi.msk.ru/account/1404250131/", 1404250131)</f>
        <v>1404250131</v>
      </c>
      <c r="F4152">
        <v>436.49</v>
      </c>
    </row>
    <row r="4153" spans="1:6" x14ac:dyDescent="0.25">
      <c r="A4153" t="s">
        <v>658</v>
      </c>
      <c r="B4153" t="s">
        <v>8</v>
      </c>
      <c r="C4153" s="5" t="str">
        <f t="shared" si="191"/>
        <v xml:space="preserve"> кв. 4</v>
      </c>
      <c r="D4153" s="5" t="str">
        <f>CONCATENATE(A4153,C4153)</f>
        <v>Валдайский пр., дом 10 к.1 кв. 4</v>
      </c>
      <c r="E4153" s="3">
        <f>HYPERLINK("https://sao.dolgi.msk.ru/account/1404250852/", 1404250852)</f>
        <v>1404250852</v>
      </c>
      <c r="F4153">
        <v>872.99</v>
      </c>
    </row>
    <row r="4154" spans="1:6" x14ac:dyDescent="0.25">
      <c r="A4154" t="s">
        <v>658</v>
      </c>
      <c r="B4154" t="s">
        <v>8</v>
      </c>
      <c r="C4154" s="5" t="str">
        <f t="shared" si="191"/>
        <v xml:space="preserve"> кв. 4</v>
      </c>
      <c r="D4154" s="5" t="str">
        <f>CONCATENATE(A4154,C4154)</f>
        <v>Валдайский пр., дом 10 к.1 кв. 4</v>
      </c>
      <c r="E4154" s="3">
        <f>HYPERLINK("https://sao.dolgi.msk.ru/account/1404251628/", 1404251628)</f>
        <v>1404251628</v>
      </c>
      <c r="F4154">
        <v>436.49</v>
      </c>
    </row>
    <row r="4155" spans="1:6" hidden="1" x14ac:dyDescent="0.25">
      <c r="A4155" t="s">
        <v>658</v>
      </c>
      <c r="B4155" t="s">
        <v>9</v>
      </c>
      <c r="E4155" s="3">
        <f>HYPERLINK("https://sao.dolgi.msk.ru/account/1404247549/", 1404247549)</f>
        <v>1404247549</v>
      </c>
      <c r="F4155">
        <v>0</v>
      </c>
    </row>
    <row r="4156" spans="1:6" hidden="1" x14ac:dyDescent="0.25">
      <c r="A4156" t="s">
        <v>658</v>
      </c>
      <c r="B4156" t="s">
        <v>10</v>
      </c>
      <c r="E4156" s="3">
        <f>HYPERLINK("https://sao.dolgi.msk.ru/account/1404245949/", 1404245949)</f>
        <v>1404245949</v>
      </c>
      <c r="F4156">
        <v>-2456.19</v>
      </c>
    </row>
    <row r="4157" spans="1:6" x14ac:dyDescent="0.25">
      <c r="A4157" t="s">
        <v>658</v>
      </c>
      <c r="B4157" t="s">
        <v>11</v>
      </c>
      <c r="C4157" s="5" t="str">
        <f t="shared" ref="C4157:C4158" si="192">" кв. "&amp;B4157</f>
        <v xml:space="preserve"> кв. 7</v>
      </c>
      <c r="D4157" s="5" t="str">
        <f>CONCATENATE(A4157,C4157)</f>
        <v>Валдайский пр., дом 10 к.1 кв. 7</v>
      </c>
      <c r="E4157" s="3">
        <f>HYPERLINK("https://sao.dolgi.msk.ru/account/1404251118/", 1404251118)</f>
        <v>1404251118</v>
      </c>
      <c r="F4157">
        <v>1749.14</v>
      </c>
    </row>
    <row r="4158" spans="1:6" x14ac:dyDescent="0.25">
      <c r="A4158" t="s">
        <v>658</v>
      </c>
      <c r="B4158" t="s">
        <v>12</v>
      </c>
      <c r="C4158" s="5" t="str">
        <f t="shared" si="192"/>
        <v xml:space="preserve"> кв. 8</v>
      </c>
      <c r="D4158" s="5" t="str">
        <f>CONCATENATE(A4158,C4158)</f>
        <v>Валдайский пр., дом 10 к.1 кв. 8</v>
      </c>
      <c r="E4158" s="3">
        <f>HYPERLINK("https://sao.dolgi.msk.ru/account/1404245957/", 1404245957)</f>
        <v>1404245957</v>
      </c>
      <c r="F4158">
        <v>695.86</v>
      </c>
    </row>
    <row r="4159" spans="1:6" hidden="1" x14ac:dyDescent="0.25">
      <c r="A4159" t="s">
        <v>658</v>
      </c>
      <c r="B4159" t="s">
        <v>13</v>
      </c>
      <c r="E4159" s="3">
        <f>HYPERLINK("https://sao.dolgi.msk.ru/account/1404250879/", 1404250879)</f>
        <v>1404250879</v>
      </c>
      <c r="F4159">
        <v>-2551.38</v>
      </c>
    </row>
    <row r="4160" spans="1:6" x14ac:dyDescent="0.25">
      <c r="A4160" t="s">
        <v>658</v>
      </c>
      <c r="B4160" t="s">
        <v>14</v>
      </c>
      <c r="C4160" s="5" t="str">
        <f>" кв. "&amp;B4160</f>
        <v xml:space="preserve"> кв. 10</v>
      </c>
      <c r="D4160" s="5" t="str">
        <f>CONCATENATE(A4160,C4160)</f>
        <v>Валдайский пр., дом 10 к.1 кв. 10</v>
      </c>
      <c r="E4160" s="3">
        <f>HYPERLINK("https://sao.dolgi.msk.ru/account/1404248154/", 1404248154)</f>
        <v>1404248154</v>
      </c>
      <c r="F4160">
        <v>1233.57</v>
      </c>
    </row>
    <row r="4161" spans="1:6" hidden="1" x14ac:dyDescent="0.25">
      <c r="A4161" t="s">
        <v>658</v>
      </c>
      <c r="B4161" t="s">
        <v>15</v>
      </c>
      <c r="E4161" s="3">
        <f>HYPERLINK("https://sao.dolgi.msk.ru/account/1404246466/", 1404246466)</f>
        <v>1404246466</v>
      </c>
      <c r="F4161">
        <v>-1949.85</v>
      </c>
    </row>
    <row r="4162" spans="1:6" hidden="1" x14ac:dyDescent="0.25">
      <c r="A4162" t="s">
        <v>658</v>
      </c>
      <c r="B4162" t="s">
        <v>16</v>
      </c>
      <c r="E4162" s="3">
        <f>HYPERLINK("https://sao.dolgi.msk.ru/account/1404250385/", 1404250385)</f>
        <v>1404250385</v>
      </c>
      <c r="F4162">
        <v>0</v>
      </c>
    </row>
    <row r="4163" spans="1:6" hidden="1" x14ac:dyDescent="0.25">
      <c r="A4163" t="s">
        <v>658</v>
      </c>
      <c r="B4163" t="s">
        <v>17</v>
      </c>
      <c r="E4163" s="3">
        <f>HYPERLINK("https://sao.dolgi.msk.ru/account/1404248365/", 1404248365)</f>
        <v>1404248365</v>
      </c>
      <c r="F4163">
        <v>-1788.74</v>
      </c>
    </row>
    <row r="4164" spans="1:6" hidden="1" x14ac:dyDescent="0.25">
      <c r="A4164" t="s">
        <v>658</v>
      </c>
      <c r="B4164" t="s">
        <v>18</v>
      </c>
      <c r="E4164" s="3">
        <f>HYPERLINK("https://sao.dolgi.msk.ru/account/1404247522/", 1404247522)</f>
        <v>1404247522</v>
      </c>
      <c r="F4164">
        <v>-2574.4899999999998</v>
      </c>
    </row>
    <row r="4165" spans="1:6" hidden="1" x14ac:dyDescent="0.25">
      <c r="A4165" t="s">
        <v>658</v>
      </c>
      <c r="B4165" t="s">
        <v>19</v>
      </c>
      <c r="E4165" s="3">
        <f>HYPERLINK("https://sao.dolgi.msk.ru/account/1404246706/", 1404246706)</f>
        <v>1404246706</v>
      </c>
      <c r="F4165">
        <v>-2579.11</v>
      </c>
    </row>
    <row r="4166" spans="1:6" hidden="1" x14ac:dyDescent="0.25">
      <c r="A4166" t="s">
        <v>658</v>
      </c>
      <c r="B4166" t="s">
        <v>20</v>
      </c>
      <c r="E4166" s="3">
        <f>HYPERLINK("https://sao.dolgi.msk.ru/account/1404248648/", 1404248648)</f>
        <v>1404248648</v>
      </c>
      <c r="F4166">
        <v>-2944.25</v>
      </c>
    </row>
    <row r="4167" spans="1:6" x14ac:dyDescent="0.25">
      <c r="A4167" t="s">
        <v>658</v>
      </c>
      <c r="B4167" t="s">
        <v>21</v>
      </c>
      <c r="C4167" s="5" t="str">
        <f t="shared" ref="C4167:C4168" si="193">" кв. "&amp;B4167</f>
        <v xml:space="preserve"> кв. 17</v>
      </c>
      <c r="D4167" s="5" t="str">
        <f>CONCATENATE(A4167,C4167)</f>
        <v>Валдайский пр., дом 10 к.1 кв. 17</v>
      </c>
      <c r="E4167" s="3">
        <f>HYPERLINK("https://sao.dolgi.msk.ru/account/1404248568/", 1404248568)</f>
        <v>1404248568</v>
      </c>
      <c r="F4167">
        <v>1758.63</v>
      </c>
    </row>
    <row r="4168" spans="1:6" x14ac:dyDescent="0.25">
      <c r="A4168" t="s">
        <v>658</v>
      </c>
      <c r="B4168" t="s">
        <v>22</v>
      </c>
      <c r="C4168" s="5" t="str">
        <f t="shared" si="193"/>
        <v xml:space="preserve"> кв. 18</v>
      </c>
      <c r="D4168" s="5" t="str">
        <f>CONCATENATE(A4168,C4168)</f>
        <v>Валдайский пр., дом 10 к.1 кв. 18</v>
      </c>
      <c r="E4168" s="3">
        <f>HYPERLINK("https://sao.dolgi.msk.ru/account/1404246888/", 1404246888)</f>
        <v>1404246888</v>
      </c>
      <c r="F4168">
        <v>1227.24</v>
      </c>
    </row>
    <row r="4169" spans="1:6" hidden="1" x14ac:dyDescent="0.25">
      <c r="A4169" t="s">
        <v>658</v>
      </c>
      <c r="B4169" t="s">
        <v>23</v>
      </c>
      <c r="E4169" s="3">
        <f>HYPERLINK("https://sao.dolgi.msk.ru/account/1404247186/", 1404247186)</f>
        <v>1404247186</v>
      </c>
      <c r="F4169">
        <v>-1571.09</v>
      </c>
    </row>
    <row r="4170" spans="1:6" hidden="1" x14ac:dyDescent="0.25">
      <c r="A4170" t="s">
        <v>658</v>
      </c>
      <c r="B4170" t="s">
        <v>24</v>
      </c>
      <c r="E4170" s="3">
        <f>HYPERLINK("https://sao.dolgi.msk.ru/account/1404247012/", 1404247012)</f>
        <v>1404247012</v>
      </c>
      <c r="F4170">
        <v>0</v>
      </c>
    </row>
    <row r="4171" spans="1:6" hidden="1" x14ac:dyDescent="0.25">
      <c r="A4171" t="s">
        <v>658</v>
      </c>
      <c r="B4171" t="s">
        <v>25</v>
      </c>
      <c r="E4171" s="3">
        <f>HYPERLINK("https://sao.dolgi.msk.ru/account/1404250414/", 1404250414)</f>
        <v>1404250414</v>
      </c>
      <c r="F4171">
        <v>-1474.43</v>
      </c>
    </row>
    <row r="4172" spans="1:6" hidden="1" x14ac:dyDescent="0.25">
      <c r="A4172" t="s">
        <v>658</v>
      </c>
      <c r="B4172" t="s">
        <v>26</v>
      </c>
      <c r="E4172" s="3">
        <f>HYPERLINK("https://sao.dolgi.msk.ru/account/1404247821/", 1404247821)</f>
        <v>1404247821</v>
      </c>
      <c r="F4172">
        <v>-2295.33</v>
      </c>
    </row>
    <row r="4173" spans="1:6" x14ac:dyDescent="0.25">
      <c r="A4173" t="s">
        <v>658</v>
      </c>
      <c r="B4173" t="s">
        <v>27</v>
      </c>
      <c r="C4173" s="5" t="str">
        <f>" кв. "&amp;B4173</f>
        <v xml:space="preserve"> кв. 23</v>
      </c>
      <c r="D4173" s="5" t="str">
        <f>CONCATENATE(A4173,C4173)</f>
        <v>Валдайский пр., дом 10 к.1 кв. 23</v>
      </c>
      <c r="E4173" s="3">
        <f>HYPERLINK("https://sao.dolgi.msk.ru/account/1404248015/", 1404248015)</f>
        <v>1404248015</v>
      </c>
      <c r="F4173">
        <v>1227.24</v>
      </c>
    </row>
    <row r="4174" spans="1:6" hidden="1" x14ac:dyDescent="0.25">
      <c r="A4174" t="s">
        <v>658</v>
      </c>
      <c r="B4174" t="s">
        <v>28</v>
      </c>
      <c r="E4174" s="3">
        <f>HYPERLINK("https://sao.dolgi.msk.ru/account/1404247776/", 1404247776)</f>
        <v>1404247776</v>
      </c>
      <c r="F4174">
        <v>-2574.4899999999998</v>
      </c>
    </row>
    <row r="4175" spans="1:6" hidden="1" x14ac:dyDescent="0.25">
      <c r="A4175" t="s">
        <v>658</v>
      </c>
      <c r="B4175" t="s">
        <v>29</v>
      </c>
      <c r="E4175" s="3">
        <f>HYPERLINK("https://sao.dolgi.msk.ru/account/1404249368/", 1404249368)</f>
        <v>1404249368</v>
      </c>
      <c r="F4175">
        <v>-2583.7399999999998</v>
      </c>
    </row>
    <row r="4176" spans="1:6" x14ac:dyDescent="0.25">
      <c r="A4176" t="s">
        <v>658</v>
      </c>
      <c r="B4176" t="s">
        <v>30</v>
      </c>
      <c r="C4176" s="5" t="str">
        <f>" кв. "&amp;B4176</f>
        <v xml:space="preserve"> кв. 26</v>
      </c>
      <c r="D4176" s="5" t="str">
        <f>CONCATENATE(A4176,C4176)</f>
        <v>Валдайский пр., дом 10 к.1 кв. 26</v>
      </c>
      <c r="E4176" s="3">
        <f>HYPERLINK("https://sao.dolgi.msk.ru/account/1404246626/", 1404246626)</f>
        <v>1404246626</v>
      </c>
      <c r="F4176">
        <v>1007.41</v>
      </c>
    </row>
    <row r="4177" spans="1:6" hidden="1" x14ac:dyDescent="0.25">
      <c r="A4177" t="s">
        <v>658</v>
      </c>
      <c r="B4177" t="s">
        <v>31</v>
      </c>
      <c r="E4177" s="3">
        <f>HYPERLINK("https://sao.dolgi.msk.ru/account/1404251046/", 1404251046)</f>
        <v>1404251046</v>
      </c>
      <c r="F4177">
        <v>-812.7</v>
      </c>
    </row>
    <row r="4178" spans="1:6" x14ac:dyDescent="0.25">
      <c r="A4178" t="s">
        <v>658</v>
      </c>
      <c r="B4178" t="s">
        <v>32</v>
      </c>
      <c r="C4178" s="5" t="str">
        <f>" кв. "&amp;B4178</f>
        <v xml:space="preserve"> кв. 28</v>
      </c>
      <c r="D4178" s="5" t="str">
        <f>CONCATENATE(A4178,C4178)</f>
        <v>Валдайский пр., дом 10 к.1 кв. 28</v>
      </c>
      <c r="E4178" s="3">
        <f>HYPERLINK("https://sao.dolgi.msk.ru/account/1404248955/", 1404248955)</f>
        <v>1404248955</v>
      </c>
      <c r="F4178">
        <v>1233.57</v>
      </c>
    </row>
    <row r="4179" spans="1:6" hidden="1" x14ac:dyDescent="0.25">
      <c r="A4179" t="s">
        <v>658</v>
      </c>
      <c r="B4179" t="s">
        <v>33</v>
      </c>
      <c r="E4179" s="3">
        <f>HYPERLINK("https://sao.dolgi.msk.ru/account/1404249878/", 1404249878)</f>
        <v>1404249878</v>
      </c>
      <c r="F4179">
        <v>-1802.61</v>
      </c>
    </row>
    <row r="4180" spans="1:6" hidden="1" x14ac:dyDescent="0.25">
      <c r="A4180" t="s">
        <v>658</v>
      </c>
      <c r="B4180" t="s">
        <v>34</v>
      </c>
      <c r="E4180" s="3">
        <f>HYPERLINK("https://sao.dolgi.msk.ru/account/1404248023/", 1404248023)</f>
        <v>1404248023</v>
      </c>
      <c r="F4180">
        <v>-2588.36</v>
      </c>
    </row>
    <row r="4181" spans="1:6" hidden="1" x14ac:dyDescent="0.25">
      <c r="A4181" t="s">
        <v>658</v>
      </c>
      <c r="B4181" t="s">
        <v>35</v>
      </c>
      <c r="E4181" s="3">
        <f>HYPERLINK("https://sao.dolgi.msk.ru/account/1404247899/", 1404247899)</f>
        <v>1404247899</v>
      </c>
      <c r="F4181">
        <v>0</v>
      </c>
    </row>
    <row r="4182" spans="1:6" x14ac:dyDescent="0.25">
      <c r="A4182" t="s">
        <v>658</v>
      </c>
      <c r="B4182" t="s">
        <v>36</v>
      </c>
      <c r="C4182" s="5" t="str">
        <f>" кв. "&amp;B4182</f>
        <v xml:space="preserve"> кв. 32</v>
      </c>
      <c r="D4182" s="5" t="str">
        <f>CONCATENATE(A4182,C4182)</f>
        <v>Валдайский пр., дом 10 к.1 кв. 32</v>
      </c>
      <c r="E4182" s="3">
        <f>HYPERLINK("https://sao.dolgi.msk.ru/account/1404247055/", 1404247055)</f>
        <v>1404247055</v>
      </c>
      <c r="F4182">
        <v>1764.95</v>
      </c>
    </row>
    <row r="4183" spans="1:6" hidden="1" x14ac:dyDescent="0.25">
      <c r="A4183" t="s">
        <v>658</v>
      </c>
      <c r="B4183" t="s">
        <v>37</v>
      </c>
      <c r="E4183" s="3">
        <f>HYPERLINK("https://sao.dolgi.msk.ru/account/1404249819/", 1404249819)</f>
        <v>1404249819</v>
      </c>
      <c r="F4183">
        <v>0</v>
      </c>
    </row>
    <row r="4184" spans="1:6" hidden="1" x14ac:dyDescent="0.25">
      <c r="A4184" t="s">
        <v>658</v>
      </c>
      <c r="B4184" t="s">
        <v>38</v>
      </c>
      <c r="E4184" s="3">
        <f>HYPERLINK("https://sao.dolgi.msk.ru/account/1404247661/", 1404247661)</f>
        <v>1404247661</v>
      </c>
      <c r="F4184">
        <v>-2083.75</v>
      </c>
    </row>
    <row r="4185" spans="1:6" hidden="1" x14ac:dyDescent="0.25">
      <c r="A4185" t="s">
        <v>658</v>
      </c>
      <c r="B4185" t="s">
        <v>39</v>
      </c>
      <c r="E4185" s="3">
        <f>HYPERLINK("https://sao.dolgi.msk.ru/account/1404248509/", 1404248509)</f>
        <v>1404248509</v>
      </c>
      <c r="F4185">
        <v>0</v>
      </c>
    </row>
    <row r="4186" spans="1:6" hidden="1" x14ac:dyDescent="0.25">
      <c r="A4186" t="s">
        <v>658</v>
      </c>
      <c r="B4186" t="s">
        <v>39</v>
      </c>
      <c r="E4186" s="3">
        <f>HYPERLINK("https://sao.dolgi.msk.ru/account/1404251097/", 1404251097)</f>
        <v>1404251097</v>
      </c>
      <c r="F4186">
        <v>0</v>
      </c>
    </row>
    <row r="4187" spans="1:6" hidden="1" x14ac:dyDescent="0.25">
      <c r="A4187" t="s">
        <v>658</v>
      </c>
      <c r="B4187" t="s">
        <v>659</v>
      </c>
      <c r="E4187" s="3">
        <f>HYPERLINK("https://sao.dolgi.msk.ru/account/1404247477/", 1404247477)</f>
        <v>1404247477</v>
      </c>
      <c r="F4187">
        <v>0</v>
      </c>
    </row>
    <row r="4188" spans="1:6" hidden="1" x14ac:dyDescent="0.25">
      <c r="A4188" t="s">
        <v>658</v>
      </c>
      <c r="B4188" t="s">
        <v>42</v>
      </c>
      <c r="E4188" s="3">
        <f>HYPERLINK("https://sao.dolgi.msk.ru/account/1404250318/", 1404250318)</f>
        <v>1404250318</v>
      </c>
      <c r="F4188">
        <v>0</v>
      </c>
    </row>
    <row r="4189" spans="1:6" x14ac:dyDescent="0.25">
      <c r="A4189" t="s">
        <v>658</v>
      </c>
      <c r="B4189" t="s">
        <v>43</v>
      </c>
      <c r="C4189" s="5" t="str">
        <f>" кв. "&amp;B4189</f>
        <v xml:space="preserve"> кв. 39</v>
      </c>
      <c r="D4189" s="5" t="str">
        <f>CONCATENATE(A4189,C4189)</f>
        <v>Валдайский пр., дом 10 к.1 кв. 39</v>
      </c>
      <c r="E4189" s="3">
        <f>HYPERLINK("https://sao.dolgi.msk.ru/account/1404250721/", 1404250721)</f>
        <v>1404250721</v>
      </c>
      <c r="F4189">
        <v>1318.97</v>
      </c>
    </row>
    <row r="4190" spans="1:6" hidden="1" x14ac:dyDescent="0.25">
      <c r="A4190" t="s">
        <v>658</v>
      </c>
      <c r="B4190" t="s">
        <v>44</v>
      </c>
      <c r="E4190" s="3">
        <f>HYPERLINK("https://sao.dolgi.msk.ru/account/1404247485/", 1404247485)</f>
        <v>1404247485</v>
      </c>
      <c r="F4190">
        <v>0</v>
      </c>
    </row>
    <row r="4191" spans="1:6" hidden="1" x14ac:dyDescent="0.25">
      <c r="A4191" t="s">
        <v>658</v>
      </c>
      <c r="B4191" t="s">
        <v>45</v>
      </c>
      <c r="E4191" s="3">
        <f>HYPERLINK("https://sao.dolgi.msk.ru/account/1404248787/", 1404248787)</f>
        <v>1404248787</v>
      </c>
      <c r="F4191">
        <v>-2939.63</v>
      </c>
    </row>
    <row r="4192" spans="1:6" hidden="1" x14ac:dyDescent="0.25">
      <c r="A4192" t="s">
        <v>658</v>
      </c>
      <c r="B4192" t="s">
        <v>46</v>
      </c>
      <c r="E4192" s="3">
        <f>HYPERLINK("https://sao.dolgi.msk.ru/account/1404247944/", 1404247944)</f>
        <v>1404247944</v>
      </c>
      <c r="F4192">
        <v>-2175.94</v>
      </c>
    </row>
    <row r="4193" spans="1:6" hidden="1" x14ac:dyDescent="0.25">
      <c r="A4193" t="s">
        <v>658</v>
      </c>
      <c r="B4193" t="s">
        <v>47</v>
      </c>
      <c r="E4193" s="3">
        <f>HYPERLINK("https://sao.dolgi.msk.ru/account/1404246714/", 1404246714)</f>
        <v>1404246714</v>
      </c>
      <c r="F4193">
        <v>0</v>
      </c>
    </row>
    <row r="4194" spans="1:6" x14ac:dyDescent="0.25">
      <c r="A4194" t="s">
        <v>658</v>
      </c>
      <c r="B4194" t="s">
        <v>48</v>
      </c>
      <c r="C4194" s="5" t="str">
        <f>" кв. "&amp;B4194</f>
        <v xml:space="preserve"> кв. 44</v>
      </c>
      <c r="D4194" s="5" t="str">
        <f>CONCATENATE(A4194,C4194)</f>
        <v>Валдайский пр., дом 10 к.1 кв. 44</v>
      </c>
      <c r="E4194" s="3">
        <f>HYPERLINK("https://sao.dolgi.msk.ru/account/1404248445/", 1404248445)</f>
        <v>1404248445</v>
      </c>
      <c r="F4194">
        <v>1758.63</v>
      </c>
    </row>
    <row r="4195" spans="1:6" hidden="1" x14ac:dyDescent="0.25">
      <c r="A4195" t="s">
        <v>658</v>
      </c>
      <c r="B4195" t="s">
        <v>49</v>
      </c>
      <c r="E4195" s="3">
        <f>HYPERLINK("https://sao.dolgi.msk.ru/account/1404246693/", 1404246693)</f>
        <v>1404246693</v>
      </c>
      <c r="F4195">
        <v>-2588.36</v>
      </c>
    </row>
    <row r="4196" spans="1:6" hidden="1" x14ac:dyDescent="0.25">
      <c r="A4196" t="s">
        <v>658</v>
      </c>
      <c r="B4196" t="s">
        <v>50</v>
      </c>
      <c r="E4196" s="3">
        <f>HYPERLINK("https://sao.dolgi.msk.ru/account/1404250051/", 1404250051)</f>
        <v>1404250051</v>
      </c>
      <c r="F4196">
        <v>0</v>
      </c>
    </row>
    <row r="4197" spans="1:6" hidden="1" x14ac:dyDescent="0.25">
      <c r="A4197" t="s">
        <v>658</v>
      </c>
      <c r="B4197" t="s">
        <v>51</v>
      </c>
      <c r="E4197" s="3">
        <f>HYPERLINK("https://sao.dolgi.msk.ru/account/1404246095/", 1404246095)</f>
        <v>1404246095</v>
      </c>
      <c r="F4197">
        <v>-817.08</v>
      </c>
    </row>
    <row r="4198" spans="1:6" hidden="1" x14ac:dyDescent="0.25">
      <c r="A4198" t="s">
        <v>658</v>
      </c>
      <c r="B4198" t="s">
        <v>52</v>
      </c>
      <c r="E4198" s="3">
        <f>HYPERLINK("https://sao.dolgi.msk.ru/account/1404247514/", 1404247514)</f>
        <v>1404247514</v>
      </c>
      <c r="F4198">
        <v>-1793.36</v>
      </c>
    </row>
    <row r="4199" spans="1:6" hidden="1" x14ac:dyDescent="0.25">
      <c r="A4199" t="s">
        <v>658</v>
      </c>
      <c r="B4199" t="s">
        <v>53</v>
      </c>
      <c r="E4199" s="3">
        <f>HYPERLINK("https://sao.dolgi.msk.ru/account/1404248816/", 1404248816)</f>
        <v>1404248816</v>
      </c>
      <c r="F4199">
        <v>-1409.38</v>
      </c>
    </row>
    <row r="4200" spans="1:6" hidden="1" x14ac:dyDescent="0.25">
      <c r="A4200" t="s">
        <v>658</v>
      </c>
      <c r="B4200" t="s">
        <v>54</v>
      </c>
      <c r="E4200" s="3">
        <f>HYPERLINK("https://sao.dolgi.msk.ru/account/1404251505/", 1404251505)</f>
        <v>1404251505</v>
      </c>
      <c r="F4200">
        <v>-1670.83</v>
      </c>
    </row>
    <row r="4201" spans="1:6" hidden="1" x14ac:dyDescent="0.25">
      <c r="A4201" t="s">
        <v>658</v>
      </c>
      <c r="B4201" t="s">
        <v>55</v>
      </c>
      <c r="E4201" s="3">
        <f>HYPERLINK("https://sao.dolgi.msk.ru/account/1404249712/", 1404249712)</f>
        <v>1404249712</v>
      </c>
      <c r="F4201">
        <v>0</v>
      </c>
    </row>
    <row r="4202" spans="1:6" x14ac:dyDescent="0.25">
      <c r="A4202" t="s">
        <v>658</v>
      </c>
      <c r="B4202" t="s">
        <v>56</v>
      </c>
      <c r="C4202" s="5" t="str">
        <f t="shared" ref="C4202:C4203" si="194">" кв. "&amp;B4202</f>
        <v xml:space="preserve"> кв. 52</v>
      </c>
      <c r="D4202" s="5" t="str">
        <f>CONCATENATE(A4202,C4202)</f>
        <v>Валдайский пр., дом 10 к.1 кв. 52</v>
      </c>
      <c r="E4202" s="3">
        <f>HYPERLINK("https://sao.dolgi.msk.ru/account/1404251214/", 1404251214)</f>
        <v>1404251214</v>
      </c>
      <c r="F4202">
        <v>1768.12</v>
      </c>
    </row>
    <row r="4203" spans="1:6" x14ac:dyDescent="0.25">
      <c r="A4203" t="s">
        <v>658</v>
      </c>
      <c r="B4203" t="s">
        <v>57</v>
      </c>
      <c r="C4203" s="5" t="str">
        <f t="shared" si="194"/>
        <v xml:space="preserve"> кв. 53</v>
      </c>
      <c r="D4203" s="5" t="str">
        <f>CONCATENATE(A4203,C4203)</f>
        <v>Валдайский пр., дом 10 к.1 кв. 53</v>
      </c>
      <c r="E4203" s="3">
        <f>HYPERLINK("https://sao.dolgi.msk.ru/account/1404251513/", 1404251513)</f>
        <v>1404251513</v>
      </c>
      <c r="F4203">
        <v>1224.08</v>
      </c>
    </row>
    <row r="4204" spans="1:6" hidden="1" x14ac:dyDescent="0.25">
      <c r="A4204" t="s">
        <v>658</v>
      </c>
      <c r="B4204" t="s">
        <v>58</v>
      </c>
      <c r="E4204" s="3">
        <f>HYPERLINK("https://sao.dolgi.msk.ru/account/1404248664/", 1404248664)</f>
        <v>1404248664</v>
      </c>
      <c r="F4204">
        <v>-879.87</v>
      </c>
    </row>
    <row r="4205" spans="1:6" x14ac:dyDescent="0.25">
      <c r="A4205" t="s">
        <v>658</v>
      </c>
      <c r="B4205" t="s">
        <v>58</v>
      </c>
      <c r="C4205" s="5" t="str">
        <f>" кв. "&amp;B4205</f>
        <v xml:space="preserve"> кв. 54</v>
      </c>
      <c r="D4205" s="5" t="str">
        <f>CONCATENATE(A4205,C4205)</f>
        <v>Валдайский пр., дом 10 к.1 кв. 54</v>
      </c>
      <c r="E4205" s="3">
        <f>HYPERLINK("https://sao.dolgi.msk.ru/account/1404249472/", 1404249472)</f>
        <v>1404249472</v>
      </c>
      <c r="F4205">
        <v>1169.04</v>
      </c>
    </row>
    <row r="4206" spans="1:6" hidden="1" x14ac:dyDescent="0.25">
      <c r="A4206" t="s">
        <v>658</v>
      </c>
      <c r="B4206" t="s">
        <v>59</v>
      </c>
      <c r="E4206" s="3">
        <f>HYPERLINK("https://sao.dolgi.msk.ru/account/1404248904/", 1404248904)</f>
        <v>1404248904</v>
      </c>
      <c r="F4206">
        <v>-2593.48</v>
      </c>
    </row>
    <row r="4207" spans="1:6" hidden="1" x14ac:dyDescent="0.25">
      <c r="A4207" t="s">
        <v>658</v>
      </c>
      <c r="B4207" t="s">
        <v>60</v>
      </c>
      <c r="E4207" s="3">
        <f>HYPERLINK("https://sao.dolgi.msk.ru/account/1404249456/", 1404249456)</f>
        <v>1404249456</v>
      </c>
      <c r="F4207">
        <v>-927.96</v>
      </c>
    </row>
    <row r="4208" spans="1:6" x14ac:dyDescent="0.25">
      <c r="A4208" t="s">
        <v>658</v>
      </c>
      <c r="B4208" t="s">
        <v>61</v>
      </c>
      <c r="C4208" s="5" t="str">
        <f>" кв. "&amp;B4208</f>
        <v xml:space="preserve"> кв. 57</v>
      </c>
      <c r="D4208" s="5" t="str">
        <f>CONCATENATE(A4208,C4208)</f>
        <v>Валдайский пр., дом 10 к.1 кв. 57</v>
      </c>
      <c r="E4208" s="3">
        <f>HYPERLINK("https://sao.dolgi.msk.ru/account/1404250932/", 1404250932)</f>
        <v>1404250932</v>
      </c>
      <c r="F4208">
        <v>1761.79</v>
      </c>
    </row>
    <row r="4209" spans="1:6" hidden="1" x14ac:dyDescent="0.25">
      <c r="A4209" t="s">
        <v>658</v>
      </c>
      <c r="B4209" t="s">
        <v>62</v>
      </c>
      <c r="E4209" s="3">
        <f>HYPERLINK("https://sao.dolgi.msk.ru/account/1404248306/", 1404248306)</f>
        <v>1404248306</v>
      </c>
      <c r="F4209">
        <v>-1793.36</v>
      </c>
    </row>
    <row r="4210" spans="1:6" hidden="1" x14ac:dyDescent="0.25">
      <c r="A4210" t="s">
        <v>658</v>
      </c>
      <c r="B4210" t="s">
        <v>63</v>
      </c>
      <c r="E4210" s="3">
        <f>HYPERLINK("https://sao.dolgi.msk.ru/account/1404249077/", 1404249077)</f>
        <v>1404249077</v>
      </c>
      <c r="F4210">
        <v>-1811.85</v>
      </c>
    </row>
    <row r="4211" spans="1:6" hidden="1" x14ac:dyDescent="0.25">
      <c r="A4211" t="s">
        <v>658</v>
      </c>
      <c r="B4211" t="s">
        <v>64</v>
      </c>
      <c r="E4211" s="3">
        <f>HYPERLINK("https://sao.dolgi.msk.ru/account/1404247004/", 1404247004)</f>
        <v>1404247004</v>
      </c>
      <c r="F4211">
        <v>-1296.48</v>
      </c>
    </row>
    <row r="4212" spans="1:6" hidden="1" x14ac:dyDescent="0.25">
      <c r="A4212" t="s">
        <v>658</v>
      </c>
      <c r="B4212" t="s">
        <v>64</v>
      </c>
      <c r="E4212" s="3">
        <f>HYPERLINK("https://sao.dolgi.msk.ru/account/1404248197/", 1404248197)</f>
        <v>1404248197</v>
      </c>
      <c r="F4212">
        <v>-1296.48</v>
      </c>
    </row>
    <row r="4213" spans="1:6" hidden="1" x14ac:dyDescent="0.25">
      <c r="A4213" t="s">
        <v>658</v>
      </c>
      <c r="B4213" t="s">
        <v>65</v>
      </c>
      <c r="E4213" s="3">
        <f>HYPERLINK("https://sao.dolgi.msk.ru/account/1404248082/", 1404248082)</f>
        <v>1404248082</v>
      </c>
      <c r="F4213">
        <v>-690.14</v>
      </c>
    </row>
    <row r="4214" spans="1:6" hidden="1" x14ac:dyDescent="0.25">
      <c r="A4214" t="s">
        <v>658</v>
      </c>
      <c r="B4214" t="s">
        <v>66</v>
      </c>
      <c r="E4214" s="3">
        <f>HYPERLINK("https://sao.dolgi.msk.ru/account/1404251601/", 1404251601)</f>
        <v>1404251601</v>
      </c>
      <c r="F4214">
        <v>-815.62</v>
      </c>
    </row>
    <row r="4215" spans="1:6" hidden="1" x14ac:dyDescent="0.25">
      <c r="A4215" t="s">
        <v>658</v>
      </c>
      <c r="B4215" t="s">
        <v>67</v>
      </c>
      <c r="E4215" s="3">
        <f>HYPERLINK("https://sao.dolgi.msk.ru/account/1404246001/", 1404246001)</f>
        <v>1404246001</v>
      </c>
      <c r="F4215">
        <v>-1807.23</v>
      </c>
    </row>
    <row r="4216" spans="1:6" x14ac:dyDescent="0.25">
      <c r="A4216" t="s">
        <v>658</v>
      </c>
      <c r="B4216" t="s">
        <v>68</v>
      </c>
      <c r="C4216" s="5" t="str">
        <f t="shared" ref="C4216:C4218" si="195">" кв. "&amp;B4216</f>
        <v xml:space="preserve"> кв. 64</v>
      </c>
      <c r="D4216" s="5" t="str">
        <f>CONCATENATE(A4216,C4216)</f>
        <v>Валдайский пр., дом 10 к.1 кв. 64</v>
      </c>
      <c r="E4216" s="3">
        <f>HYPERLINK("https://sao.dolgi.msk.ru/account/1404249835/", 1404249835)</f>
        <v>1404249835</v>
      </c>
      <c r="F4216">
        <v>1752.3</v>
      </c>
    </row>
    <row r="4217" spans="1:6" x14ac:dyDescent="0.25">
      <c r="A4217" t="s">
        <v>658</v>
      </c>
      <c r="B4217" t="s">
        <v>69</v>
      </c>
      <c r="C4217" s="5" t="str">
        <f t="shared" si="195"/>
        <v xml:space="preserve"> кв. 65</v>
      </c>
      <c r="D4217" s="5" t="str">
        <f>CONCATENATE(A4217,C4217)</f>
        <v>Валдайский пр., дом 10 к.1 кв. 65</v>
      </c>
      <c r="E4217" s="3">
        <f>HYPERLINK("https://sao.dolgi.msk.ru/account/1404251193/", 1404251193)</f>
        <v>1404251193</v>
      </c>
      <c r="F4217">
        <v>1777.61</v>
      </c>
    </row>
    <row r="4218" spans="1:6" x14ac:dyDescent="0.25">
      <c r="A4218" t="s">
        <v>658</v>
      </c>
      <c r="B4218" t="s">
        <v>70</v>
      </c>
      <c r="C4218" s="5" t="str">
        <f t="shared" si="195"/>
        <v xml:space="preserve"> кв. 66</v>
      </c>
      <c r="D4218" s="5" t="str">
        <f>CONCATENATE(A4218,C4218)</f>
        <v>Валдайский пр., дом 10 к.1 кв. 66</v>
      </c>
      <c r="E4218" s="3">
        <f>HYPERLINK("https://sao.dolgi.msk.ru/account/1404246781/", 1404246781)</f>
        <v>1404246781</v>
      </c>
      <c r="F4218">
        <v>1154.5</v>
      </c>
    </row>
    <row r="4219" spans="1:6" hidden="1" x14ac:dyDescent="0.25">
      <c r="A4219" t="s">
        <v>658</v>
      </c>
      <c r="B4219" t="s">
        <v>71</v>
      </c>
      <c r="E4219" s="3">
        <f>HYPERLINK("https://sao.dolgi.msk.ru/account/1404250502/", 1404250502)</f>
        <v>1404250502</v>
      </c>
      <c r="F4219">
        <v>-2569.87</v>
      </c>
    </row>
    <row r="4220" spans="1:6" hidden="1" x14ac:dyDescent="0.25">
      <c r="A4220" t="s">
        <v>658</v>
      </c>
      <c r="B4220" t="s">
        <v>72</v>
      </c>
      <c r="E4220" s="3">
        <f>HYPERLINK("https://sao.dolgi.msk.ru/account/1404247338/", 1404247338)</f>
        <v>1404247338</v>
      </c>
      <c r="F4220">
        <v>-1514.21</v>
      </c>
    </row>
    <row r="4221" spans="1:6" hidden="1" x14ac:dyDescent="0.25">
      <c r="A4221" t="s">
        <v>658</v>
      </c>
      <c r="B4221" t="s">
        <v>73</v>
      </c>
      <c r="E4221" s="3">
        <f>HYPERLINK("https://sao.dolgi.msk.ru/account/1404248496/", 1404248496)</f>
        <v>1404248496</v>
      </c>
      <c r="F4221">
        <v>0</v>
      </c>
    </row>
    <row r="4222" spans="1:6" hidden="1" x14ac:dyDescent="0.25">
      <c r="A4222" t="s">
        <v>658</v>
      </c>
      <c r="B4222" t="s">
        <v>74</v>
      </c>
      <c r="E4222" s="3">
        <f>HYPERLINK("https://sao.dolgi.msk.ru/account/1404249675/", 1404249675)</f>
        <v>1404249675</v>
      </c>
      <c r="F4222">
        <v>-1298.81</v>
      </c>
    </row>
    <row r="4223" spans="1:6" hidden="1" x14ac:dyDescent="0.25">
      <c r="A4223" t="s">
        <v>658</v>
      </c>
      <c r="B4223" t="s">
        <v>75</v>
      </c>
      <c r="E4223" s="3">
        <f>HYPERLINK("https://sao.dolgi.msk.ru/account/1404249843/", 1404249843)</f>
        <v>1404249843</v>
      </c>
      <c r="F4223">
        <v>0</v>
      </c>
    </row>
    <row r="4224" spans="1:6" hidden="1" x14ac:dyDescent="0.25">
      <c r="A4224" t="s">
        <v>658</v>
      </c>
      <c r="B4224" t="s">
        <v>76</v>
      </c>
      <c r="E4224" s="3">
        <f>HYPERLINK("https://sao.dolgi.msk.ru/account/1404246861/", 1404246861)</f>
        <v>1404246861</v>
      </c>
      <c r="F4224">
        <v>-2569.87</v>
      </c>
    </row>
    <row r="4225" spans="1:6" hidden="1" x14ac:dyDescent="0.25">
      <c r="A4225" t="s">
        <v>658</v>
      </c>
      <c r="B4225" t="s">
        <v>77</v>
      </c>
      <c r="E4225" s="3">
        <f>HYPERLINK("https://sao.dolgi.msk.ru/account/1404247266/", 1404247266)</f>
        <v>1404247266</v>
      </c>
      <c r="F4225">
        <v>-566.12</v>
      </c>
    </row>
    <row r="4226" spans="1:6" hidden="1" x14ac:dyDescent="0.25">
      <c r="A4226" t="s">
        <v>658</v>
      </c>
      <c r="B4226" t="s">
        <v>78</v>
      </c>
      <c r="E4226" s="3">
        <f>HYPERLINK("https://sao.dolgi.msk.ru/account/1404248226/", 1404248226)</f>
        <v>1404248226</v>
      </c>
      <c r="F4226">
        <v>0</v>
      </c>
    </row>
    <row r="4227" spans="1:6" hidden="1" x14ac:dyDescent="0.25">
      <c r="A4227" t="s">
        <v>658</v>
      </c>
      <c r="B4227" t="s">
        <v>79</v>
      </c>
      <c r="E4227" s="3">
        <f>HYPERLINK("https://sao.dolgi.msk.ru/account/1404246239/", 1404246239)</f>
        <v>1404246239</v>
      </c>
      <c r="F4227">
        <v>-2583.7399999999998</v>
      </c>
    </row>
    <row r="4228" spans="1:6" hidden="1" x14ac:dyDescent="0.25">
      <c r="A4228" t="s">
        <v>658</v>
      </c>
      <c r="B4228" t="s">
        <v>80</v>
      </c>
      <c r="E4228" s="3">
        <f>HYPERLINK("https://sao.dolgi.msk.ru/account/1404247952/", 1404247952)</f>
        <v>1404247952</v>
      </c>
      <c r="F4228">
        <v>-2948.87</v>
      </c>
    </row>
    <row r="4229" spans="1:6" hidden="1" x14ac:dyDescent="0.25">
      <c r="A4229" t="s">
        <v>658</v>
      </c>
      <c r="B4229" t="s">
        <v>81</v>
      </c>
      <c r="E4229" s="3">
        <f>HYPERLINK("https://sao.dolgi.msk.ru/account/1404250377/", 1404250377)</f>
        <v>1404250377</v>
      </c>
      <c r="F4229">
        <v>-2574.4899999999998</v>
      </c>
    </row>
    <row r="4230" spans="1:6" hidden="1" x14ac:dyDescent="0.25">
      <c r="A4230" t="s">
        <v>658</v>
      </c>
      <c r="B4230" t="s">
        <v>82</v>
      </c>
      <c r="E4230" s="3">
        <f>HYPERLINK("https://sao.dolgi.msk.ru/account/1404248461/", 1404248461)</f>
        <v>1404248461</v>
      </c>
      <c r="F4230">
        <v>-935.96</v>
      </c>
    </row>
    <row r="4231" spans="1:6" hidden="1" x14ac:dyDescent="0.25">
      <c r="A4231" t="s">
        <v>658</v>
      </c>
      <c r="B4231" t="s">
        <v>83</v>
      </c>
      <c r="E4231" s="3">
        <f>HYPERLINK("https://sao.dolgi.msk.ru/account/1404248437/", 1404248437)</f>
        <v>1404248437</v>
      </c>
      <c r="F4231">
        <v>-2583.7399999999998</v>
      </c>
    </row>
    <row r="4232" spans="1:6" x14ac:dyDescent="0.25">
      <c r="A4232" t="s">
        <v>658</v>
      </c>
      <c r="B4232" t="s">
        <v>84</v>
      </c>
      <c r="C4232" s="5" t="str">
        <f t="shared" ref="C4232:C4235" si="196">" кв. "&amp;B4232</f>
        <v xml:space="preserve"> кв. 80</v>
      </c>
      <c r="D4232" s="5" t="str">
        <f>CONCATENATE(A4232,C4232)</f>
        <v>Валдайский пр., дом 10 к.1 кв. 80</v>
      </c>
      <c r="E4232" s="3">
        <f>HYPERLINK("https://sao.dolgi.msk.ru/account/1404249798/", 1404249798)</f>
        <v>1404249798</v>
      </c>
      <c r="F4232">
        <v>1764.95</v>
      </c>
    </row>
    <row r="4233" spans="1:6" x14ac:dyDescent="0.25">
      <c r="A4233" t="s">
        <v>658</v>
      </c>
      <c r="B4233" t="s">
        <v>85</v>
      </c>
      <c r="C4233" s="5" t="str">
        <f t="shared" si="196"/>
        <v xml:space="preserve"> кв. 81</v>
      </c>
      <c r="D4233" s="5" t="str">
        <f>CONCATENATE(A4233,C4233)</f>
        <v>Валдайский пр., дом 10 к.1 кв. 81</v>
      </c>
      <c r="E4233" s="3">
        <f>HYPERLINK("https://sao.dolgi.msk.ru/account/1404247573/", 1404247573)</f>
        <v>1404247573</v>
      </c>
      <c r="F4233">
        <v>2024.32</v>
      </c>
    </row>
    <row r="4234" spans="1:6" x14ac:dyDescent="0.25">
      <c r="A4234" t="s">
        <v>658</v>
      </c>
      <c r="B4234" t="s">
        <v>86</v>
      </c>
      <c r="C4234" s="5" t="str">
        <f t="shared" si="196"/>
        <v xml:space="preserve"> кв. 82</v>
      </c>
      <c r="D4234" s="5" t="str">
        <f>CONCATENATE(A4234,C4234)</f>
        <v>Валдайский пр., дом 10 к.1 кв. 82</v>
      </c>
      <c r="E4234" s="3">
        <f>HYPERLINK("https://sao.dolgi.msk.ru/account/1404249106/", 1404249106)</f>
        <v>1404249106</v>
      </c>
      <c r="F4234">
        <v>1758.63</v>
      </c>
    </row>
    <row r="4235" spans="1:6" x14ac:dyDescent="0.25">
      <c r="A4235" t="s">
        <v>658</v>
      </c>
      <c r="B4235" t="s">
        <v>87</v>
      </c>
      <c r="C4235" s="5" t="str">
        <f t="shared" si="196"/>
        <v xml:space="preserve"> кв. 83</v>
      </c>
      <c r="D4235" s="5" t="str">
        <f>CONCATENATE(A4235,C4235)</f>
        <v>Валдайский пр., дом 10 к.1 кв. 83</v>
      </c>
      <c r="E4235" s="3">
        <f>HYPERLINK("https://sao.dolgi.msk.ru/account/1404250422/", 1404250422)</f>
        <v>1404250422</v>
      </c>
      <c r="F4235">
        <v>1227.24</v>
      </c>
    </row>
    <row r="4236" spans="1:6" hidden="1" x14ac:dyDescent="0.25">
      <c r="A4236" t="s">
        <v>658</v>
      </c>
      <c r="B4236" t="s">
        <v>88</v>
      </c>
      <c r="E4236" s="3">
        <f>HYPERLINK("https://sao.dolgi.msk.ru/account/1404248832/", 1404248832)</f>
        <v>1404248832</v>
      </c>
      <c r="F4236">
        <v>-814.16</v>
      </c>
    </row>
    <row r="4237" spans="1:6" hidden="1" x14ac:dyDescent="0.25">
      <c r="A4237" t="s">
        <v>658</v>
      </c>
      <c r="B4237" t="s">
        <v>89</v>
      </c>
      <c r="E4237" s="3">
        <f>HYPERLINK("https://sao.dolgi.msk.ru/account/1404251011/", 1404251011)</f>
        <v>1404251011</v>
      </c>
      <c r="F4237">
        <v>-2583.7399999999998</v>
      </c>
    </row>
    <row r="4238" spans="1:6" hidden="1" x14ac:dyDescent="0.25">
      <c r="A4238" t="s">
        <v>658</v>
      </c>
      <c r="B4238" t="s">
        <v>90</v>
      </c>
      <c r="E4238" s="3">
        <f>HYPERLINK("https://sao.dolgi.msk.ru/account/1404249114/", 1404249114)</f>
        <v>1404249114</v>
      </c>
      <c r="F4238">
        <v>0</v>
      </c>
    </row>
    <row r="4239" spans="1:6" hidden="1" x14ac:dyDescent="0.25">
      <c r="A4239" t="s">
        <v>658</v>
      </c>
      <c r="B4239" t="s">
        <v>91</v>
      </c>
      <c r="E4239" s="3">
        <f>HYPERLINK("https://sao.dolgi.msk.ru/account/1404248891/", 1404248891)</f>
        <v>1404248891</v>
      </c>
      <c r="F4239">
        <v>-1651.03</v>
      </c>
    </row>
    <row r="4240" spans="1:6" x14ac:dyDescent="0.25">
      <c r="A4240" t="s">
        <v>658</v>
      </c>
      <c r="B4240" t="s">
        <v>92</v>
      </c>
      <c r="C4240" s="5" t="str">
        <f>" кв. "&amp;B4240</f>
        <v xml:space="preserve"> кв. 88</v>
      </c>
      <c r="D4240" s="5" t="str">
        <f>CONCATENATE(A4240,C4240)</f>
        <v>Валдайский пр., дом 10 к.1 кв. 88</v>
      </c>
      <c r="E4240" s="3">
        <f>HYPERLINK("https://sao.dolgi.msk.ru/account/1404247303/", 1404247303)</f>
        <v>1404247303</v>
      </c>
      <c r="F4240">
        <v>1224.08</v>
      </c>
    </row>
    <row r="4241" spans="1:6" hidden="1" x14ac:dyDescent="0.25">
      <c r="A4241" t="s">
        <v>658</v>
      </c>
      <c r="B4241" t="s">
        <v>93</v>
      </c>
      <c r="E4241" s="3">
        <f>HYPERLINK("https://sao.dolgi.msk.ru/account/1404246159/", 1404246159)</f>
        <v>1404246159</v>
      </c>
      <c r="F4241">
        <v>-1830.34</v>
      </c>
    </row>
    <row r="4242" spans="1:6" x14ac:dyDescent="0.25">
      <c r="A4242" t="s">
        <v>658</v>
      </c>
      <c r="B4242" t="s">
        <v>94</v>
      </c>
      <c r="C4242" s="5" t="str">
        <f>" кв. "&amp;B4242</f>
        <v xml:space="preserve"> кв. 90</v>
      </c>
      <c r="D4242" s="5" t="str">
        <f>CONCATENATE(A4242,C4242)</f>
        <v>Валдайский пр., дом 10 к.1 кв. 90</v>
      </c>
      <c r="E4242" s="3">
        <f>HYPERLINK("https://sao.dolgi.msk.ru/account/1404248867/", 1404248867)</f>
        <v>1404248867</v>
      </c>
      <c r="F4242">
        <v>1771.28</v>
      </c>
    </row>
    <row r="4243" spans="1:6" hidden="1" x14ac:dyDescent="0.25">
      <c r="A4243" t="s">
        <v>658</v>
      </c>
      <c r="B4243" t="s">
        <v>95</v>
      </c>
      <c r="E4243" s="3">
        <f>HYPERLINK("https://sao.dolgi.msk.ru/account/1404247207/", 1404247207)</f>
        <v>1404247207</v>
      </c>
      <c r="F4243">
        <v>-2948.87</v>
      </c>
    </row>
    <row r="4244" spans="1:6" hidden="1" x14ac:dyDescent="0.25">
      <c r="A4244" t="s">
        <v>658</v>
      </c>
      <c r="B4244" t="s">
        <v>96</v>
      </c>
      <c r="E4244" s="3">
        <f>HYPERLINK("https://sao.dolgi.msk.ru/account/1404247709/", 1404247709)</f>
        <v>1404247709</v>
      </c>
      <c r="F4244">
        <v>-2556</v>
      </c>
    </row>
    <row r="4245" spans="1:6" hidden="1" x14ac:dyDescent="0.25">
      <c r="A4245" t="s">
        <v>658</v>
      </c>
      <c r="B4245" t="s">
        <v>97</v>
      </c>
      <c r="E4245" s="3">
        <f>HYPERLINK("https://sao.dolgi.msk.ru/account/1404250406/", 1404250406)</f>
        <v>1404250406</v>
      </c>
      <c r="F4245">
        <v>-1793.36</v>
      </c>
    </row>
    <row r="4246" spans="1:6" hidden="1" x14ac:dyDescent="0.25">
      <c r="A4246" t="s">
        <v>658</v>
      </c>
      <c r="B4246" t="s">
        <v>98</v>
      </c>
      <c r="E4246" s="3">
        <f>HYPERLINK("https://sao.dolgi.msk.ru/account/1404247717/", 1404247717)</f>
        <v>1404247717</v>
      </c>
      <c r="F4246">
        <v>-2187.61</v>
      </c>
    </row>
    <row r="4247" spans="1:6" hidden="1" x14ac:dyDescent="0.25">
      <c r="A4247" t="s">
        <v>658</v>
      </c>
      <c r="B4247" t="s">
        <v>99</v>
      </c>
      <c r="E4247" s="3">
        <f>HYPERLINK("https://sao.dolgi.msk.ru/account/1404249579/", 1404249579)</f>
        <v>1404249579</v>
      </c>
      <c r="F4247">
        <v>-2172.0300000000002</v>
      </c>
    </row>
    <row r="4248" spans="1:6" hidden="1" x14ac:dyDescent="0.25">
      <c r="A4248" t="s">
        <v>658</v>
      </c>
      <c r="B4248" t="s">
        <v>100</v>
      </c>
      <c r="E4248" s="3">
        <f>HYPERLINK("https://sao.dolgi.msk.ru/account/1404248314/", 1404248314)</f>
        <v>1404248314</v>
      </c>
      <c r="F4248">
        <v>-2962.74</v>
      </c>
    </row>
    <row r="4249" spans="1:6" hidden="1" x14ac:dyDescent="0.25">
      <c r="A4249" t="s">
        <v>658</v>
      </c>
      <c r="B4249" t="s">
        <v>101</v>
      </c>
      <c r="E4249" s="3">
        <f>HYPERLINK("https://sao.dolgi.msk.ru/account/1404249069/", 1404249069)</f>
        <v>1404249069</v>
      </c>
      <c r="F4249">
        <v>0</v>
      </c>
    </row>
    <row r="4250" spans="1:6" hidden="1" x14ac:dyDescent="0.25">
      <c r="A4250" t="s">
        <v>658</v>
      </c>
      <c r="B4250" t="s">
        <v>102</v>
      </c>
      <c r="E4250" s="3">
        <f>HYPERLINK("https://sao.dolgi.msk.ru/account/1404248701/", 1404248701)</f>
        <v>1404248701</v>
      </c>
      <c r="F4250">
        <v>-1035.3499999999999</v>
      </c>
    </row>
    <row r="4251" spans="1:6" x14ac:dyDescent="0.25">
      <c r="A4251" t="s">
        <v>658</v>
      </c>
      <c r="B4251" t="s">
        <v>103</v>
      </c>
      <c r="C4251" s="5" t="str">
        <f>" кв. "&amp;B4251</f>
        <v xml:space="preserve"> кв. 99</v>
      </c>
      <c r="D4251" s="5" t="str">
        <f>CONCATENATE(A4251,C4251)</f>
        <v>Валдайский пр., дом 10 к.1 кв. 99</v>
      </c>
      <c r="E4251" s="3">
        <f>HYPERLINK("https://sao.dolgi.msk.ru/account/1404246933/", 1404246933)</f>
        <v>1404246933</v>
      </c>
      <c r="F4251">
        <v>1774.44</v>
      </c>
    </row>
    <row r="4252" spans="1:6" hidden="1" x14ac:dyDescent="0.25">
      <c r="A4252" t="s">
        <v>658</v>
      </c>
      <c r="B4252" t="s">
        <v>104</v>
      </c>
      <c r="E4252" s="3">
        <f>HYPERLINK("https://sao.dolgi.msk.ru/account/1404251089/", 1404251089)</f>
        <v>1404251089</v>
      </c>
      <c r="F4252">
        <v>-2569.87</v>
      </c>
    </row>
    <row r="4253" spans="1:6" hidden="1" x14ac:dyDescent="0.25">
      <c r="A4253" t="s">
        <v>658</v>
      </c>
      <c r="B4253" t="s">
        <v>105</v>
      </c>
      <c r="E4253" s="3">
        <f>HYPERLINK("https://sao.dolgi.msk.ru/account/1404251441/", 1404251441)</f>
        <v>1404251441</v>
      </c>
      <c r="F4253">
        <v>-929.42</v>
      </c>
    </row>
    <row r="4254" spans="1:6" hidden="1" x14ac:dyDescent="0.25">
      <c r="A4254" t="s">
        <v>658</v>
      </c>
      <c r="B4254" t="s">
        <v>106</v>
      </c>
      <c r="E4254" s="3">
        <f>HYPERLINK("https://sao.dolgi.msk.ru/account/1404247725/", 1404247725)</f>
        <v>1404247725</v>
      </c>
      <c r="F4254">
        <v>0</v>
      </c>
    </row>
    <row r="4255" spans="1:6" hidden="1" x14ac:dyDescent="0.25">
      <c r="A4255" t="s">
        <v>658</v>
      </c>
      <c r="B4255" t="s">
        <v>107</v>
      </c>
      <c r="E4255" s="3">
        <f>HYPERLINK("https://sao.dolgi.msk.ru/account/1404246087/", 1404246087)</f>
        <v>1404246087</v>
      </c>
      <c r="F4255">
        <v>-1802.61</v>
      </c>
    </row>
    <row r="4256" spans="1:6" x14ac:dyDescent="0.25">
      <c r="A4256" t="s">
        <v>658</v>
      </c>
      <c r="B4256" t="s">
        <v>108</v>
      </c>
      <c r="C4256" s="5" t="str">
        <f>" кв. "&amp;B4256</f>
        <v xml:space="preserve"> кв. 104</v>
      </c>
      <c r="D4256" s="5" t="str">
        <f>CONCATENATE(A4256,C4256)</f>
        <v>Валдайский пр., дом 10 к.1 кв. 104</v>
      </c>
      <c r="E4256" s="3">
        <f>HYPERLINK("https://sao.dolgi.msk.ru/account/1404251126/", 1404251126)</f>
        <v>1404251126</v>
      </c>
      <c r="F4256">
        <v>1243.05</v>
      </c>
    </row>
    <row r="4257" spans="1:6" hidden="1" x14ac:dyDescent="0.25">
      <c r="A4257" t="s">
        <v>658</v>
      </c>
      <c r="B4257" t="s">
        <v>109</v>
      </c>
      <c r="E4257" s="3">
        <f>HYPERLINK("https://sao.dolgi.msk.ru/account/1404246247/", 1404246247)</f>
        <v>1404246247</v>
      </c>
      <c r="F4257">
        <v>0</v>
      </c>
    </row>
    <row r="4258" spans="1:6" x14ac:dyDescent="0.25">
      <c r="A4258" t="s">
        <v>658</v>
      </c>
      <c r="B4258" t="s">
        <v>110</v>
      </c>
      <c r="C4258" s="5" t="str">
        <f>" кв. "&amp;B4258</f>
        <v xml:space="preserve"> кв. 106</v>
      </c>
      <c r="D4258" s="5" t="str">
        <f>CONCATENATE(A4258,C4258)</f>
        <v>Валдайский пр., дом 10 к.1 кв. 106</v>
      </c>
      <c r="E4258" s="3">
        <f>HYPERLINK("https://sao.dolgi.msk.ru/account/1404250967/", 1404250967)</f>
        <v>1404250967</v>
      </c>
      <c r="F4258">
        <v>1492.93</v>
      </c>
    </row>
    <row r="4259" spans="1:6" hidden="1" x14ac:dyDescent="0.25">
      <c r="A4259" t="s">
        <v>658</v>
      </c>
      <c r="B4259" t="s">
        <v>111</v>
      </c>
      <c r="E4259" s="3">
        <f>HYPERLINK("https://sao.dolgi.msk.ru/account/1404246634/", 1404246634)</f>
        <v>1404246634</v>
      </c>
      <c r="F4259">
        <v>0</v>
      </c>
    </row>
    <row r="4260" spans="1:6" hidden="1" x14ac:dyDescent="0.25">
      <c r="A4260" t="s">
        <v>658</v>
      </c>
      <c r="B4260" t="s">
        <v>112</v>
      </c>
      <c r="E4260" s="3">
        <f>HYPERLINK("https://sao.dolgi.msk.ru/account/1404247741/", 1404247741)</f>
        <v>1404247741</v>
      </c>
      <c r="F4260">
        <v>-1518.09</v>
      </c>
    </row>
    <row r="4261" spans="1:6" x14ac:dyDescent="0.25">
      <c r="A4261" t="s">
        <v>658</v>
      </c>
      <c r="B4261" t="s">
        <v>113</v>
      </c>
      <c r="C4261" s="5" t="str">
        <f t="shared" ref="C4261:C4262" si="197">" кв. "&amp;B4261</f>
        <v xml:space="preserve"> кв. 109</v>
      </c>
      <c r="D4261" s="5" t="str">
        <f>CONCATENATE(A4261,C4261)</f>
        <v>Валдайский пр., дом 10 к.1 кв. 109</v>
      </c>
      <c r="E4261" s="3">
        <f>HYPERLINK("https://sao.dolgi.msk.ru/account/1404250561/", 1404250561)</f>
        <v>1404250561</v>
      </c>
      <c r="F4261">
        <v>1771.28</v>
      </c>
    </row>
    <row r="4262" spans="1:6" x14ac:dyDescent="0.25">
      <c r="A4262" t="s">
        <v>658</v>
      </c>
      <c r="B4262" t="s">
        <v>114</v>
      </c>
      <c r="C4262" s="5" t="str">
        <f t="shared" si="197"/>
        <v xml:space="preserve"> кв. 110</v>
      </c>
      <c r="D4262" s="5" t="str">
        <f>CONCATENATE(A4262,C4262)</f>
        <v>Валдайский пр., дом 10 к.1 кв. 110</v>
      </c>
      <c r="E4262" s="3">
        <f>HYPERLINK("https://sao.dolgi.msk.ru/account/1404248058/", 1404248058)</f>
        <v>1404248058</v>
      </c>
      <c r="F4262">
        <v>1771.28</v>
      </c>
    </row>
    <row r="4263" spans="1:6" hidden="1" x14ac:dyDescent="0.25">
      <c r="A4263" t="s">
        <v>658</v>
      </c>
      <c r="B4263" t="s">
        <v>115</v>
      </c>
      <c r="E4263" s="3">
        <f>HYPERLINK("https://sao.dolgi.msk.ru/account/1404248285/", 1404248285)</f>
        <v>1404248285</v>
      </c>
      <c r="F4263">
        <v>0</v>
      </c>
    </row>
    <row r="4264" spans="1:6" x14ac:dyDescent="0.25">
      <c r="A4264" t="s">
        <v>658</v>
      </c>
      <c r="B4264" t="s">
        <v>116</v>
      </c>
      <c r="C4264" s="5" t="str">
        <f>" кв. "&amp;B4264</f>
        <v xml:space="preserve"> кв. 112</v>
      </c>
      <c r="D4264" s="5" t="str">
        <f>CONCATENATE(A4264,C4264)</f>
        <v>Валдайский пр., дом 10 к.1 кв. 112</v>
      </c>
      <c r="E4264" s="3">
        <f>HYPERLINK("https://sao.dolgi.msk.ru/account/1404249915/", 1404249915)</f>
        <v>1404249915</v>
      </c>
      <c r="F4264">
        <v>1761.79</v>
      </c>
    </row>
    <row r="4265" spans="1:6" hidden="1" x14ac:dyDescent="0.25">
      <c r="A4265" t="s">
        <v>658</v>
      </c>
      <c r="B4265" t="s">
        <v>117</v>
      </c>
      <c r="E4265" s="3">
        <f>HYPERLINK("https://sao.dolgi.msk.ru/account/1404246124/", 1404246124)</f>
        <v>1404246124</v>
      </c>
      <c r="F4265">
        <v>0</v>
      </c>
    </row>
    <row r="4266" spans="1:6" x14ac:dyDescent="0.25">
      <c r="A4266" t="s">
        <v>658</v>
      </c>
      <c r="B4266" t="s">
        <v>118</v>
      </c>
      <c r="C4266" s="5" t="str">
        <f>" кв. "&amp;B4266</f>
        <v xml:space="preserve"> кв. 114</v>
      </c>
      <c r="D4266" s="5" t="str">
        <f>CONCATENATE(A4266,C4266)</f>
        <v>Валдайский пр., дом 10 к.1 кв. 114</v>
      </c>
      <c r="E4266" s="3">
        <f>HYPERLINK("https://sao.dolgi.msk.ru/account/1404249085/", 1404249085)</f>
        <v>1404249085</v>
      </c>
      <c r="F4266">
        <v>1774.44</v>
      </c>
    </row>
    <row r="4267" spans="1:6" hidden="1" x14ac:dyDescent="0.25">
      <c r="A4267" t="s">
        <v>658</v>
      </c>
      <c r="B4267" t="s">
        <v>119</v>
      </c>
      <c r="E4267" s="3">
        <f>HYPERLINK("https://sao.dolgi.msk.ru/account/1404246503/", 1404246503)</f>
        <v>1404246503</v>
      </c>
      <c r="F4267">
        <v>-2588.36</v>
      </c>
    </row>
    <row r="4268" spans="1:6" x14ac:dyDescent="0.25">
      <c r="A4268" t="s">
        <v>658</v>
      </c>
      <c r="B4268" t="s">
        <v>120</v>
      </c>
      <c r="C4268" s="5" t="str">
        <f>" кв. "&amp;B4268</f>
        <v xml:space="preserve"> кв. 116</v>
      </c>
      <c r="D4268" s="5" t="str">
        <f>CONCATENATE(A4268,C4268)</f>
        <v>Валдайский пр., дом 10 к.1 кв. 116</v>
      </c>
      <c r="E4268" s="3">
        <f>HYPERLINK("https://sao.dolgi.msk.ru/account/1404250297/", 1404250297)</f>
        <v>1404250297</v>
      </c>
      <c r="F4268">
        <v>2002.18</v>
      </c>
    </row>
    <row r="4269" spans="1:6" hidden="1" x14ac:dyDescent="0.25">
      <c r="A4269" t="s">
        <v>658</v>
      </c>
      <c r="B4269" t="s">
        <v>121</v>
      </c>
      <c r="E4269" s="3">
        <f>HYPERLINK("https://sao.dolgi.msk.ru/account/1404248736/", 1404248736)</f>
        <v>1404248736</v>
      </c>
      <c r="F4269">
        <v>0</v>
      </c>
    </row>
    <row r="4270" spans="1:6" x14ac:dyDescent="0.25">
      <c r="A4270" t="s">
        <v>658</v>
      </c>
      <c r="B4270" t="s">
        <v>122</v>
      </c>
      <c r="C4270" s="5" t="str">
        <f t="shared" ref="C4270:C4272" si="198">" кв. "&amp;B4270</f>
        <v xml:space="preserve"> кв. 118</v>
      </c>
      <c r="D4270" s="5" t="str">
        <f>CONCATENATE(A4270,C4270)</f>
        <v>Валдайский пр., дом 10 к.1 кв. 118</v>
      </c>
      <c r="E4270" s="3">
        <f>HYPERLINK("https://sao.dolgi.msk.ru/account/1404247063/", 1404247063)</f>
        <v>1404247063</v>
      </c>
      <c r="F4270">
        <v>1233.57</v>
      </c>
    </row>
    <row r="4271" spans="1:6" x14ac:dyDescent="0.25">
      <c r="A4271" t="s">
        <v>658</v>
      </c>
      <c r="B4271" t="s">
        <v>123</v>
      </c>
      <c r="C4271" s="5" t="str">
        <f t="shared" si="198"/>
        <v xml:space="preserve"> кв. 119</v>
      </c>
      <c r="D4271" s="5" t="str">
        <f>CONCATENATE(A4271,C4271)</f>
        <v>Валдайский пр., дом 10 к.1 кв. 119</v>
      </c>
      <c r="E4271" s="3">
        <f>HYPERLINK("https://sao.dolgi.msk.ru/account/1404249982/", 1404249982)</f>
        <v>1404249982</v>
      </c>
      <c r="F4271">
        <v>1777.61</v>
      </c>
    </row>
    <row r="4272" spans="1:6" x14ac:dyDescent="0.25">
      <c r="A4272" t="s">
        <v>658</v>
      </c>
      <c r="B4272" t="s">
        <v>124</v>
      </c>
      <c r="C4272" s="5" t="str">
        <f t="shared" si="198"/>
        <v xml:space="preserve"> кв. 120</v>
      </c>
      <c r="D4272" s="5" t="str">
        <f>CONCATENATE(A4272,C4272)</f>
        <v>Валдайский пр., дом 10 к.1 кв. 120</v>
      </c>
      <c r="E4272" s="3">
        <f>HYPERLINK("https://sao.dolgi.msk.ru/account/1404250668/", 1404250668)</f>
        <v>1404250668</v>
      </c>
      <c r="F4272">
        <v>1777.61</v>
      </c>
    </row>
    <row r="4273" spans="1:6" hidden="1" x14ac:dyDescent="0.25">
      <c r="A4273" t="s">
        <v>658</v>
      </c>
      <c r="B4273" t="s">
        <v>125</v>
      </c>
      <c r="E4273" s="3">
        <f>HYPERLINK("https://sao.dolgi.msk.ru/account/1404250115/", 1404250115)</f>
        <v>1404250115</v>
      </c>
      <c r="F4273">
        <v>-1797.98</v>
      </c>
    </row>
    <row r="4274" spans="1:6" hidden="1" x14ac:dyDescent="0.25">
      <c r="A4274" t="s">
        <v>658</v>
      </c>
      <c r="B4274" t="s">
        <v>126</v>
      </c>
      <c r="E4274" s="3">
        <f>HYPERLINK("https://sao.dolgi.msk.ru/account/1404247872/", 1404247872)</f>
        <v>1404247872</v>
      </c>
      <c r="F4274">
        <v>0</v>
      </c>
    </row>
    <row r="4275" spans="1:6" hidden="1" x14ac:dyDescent="0.25">
      <c r="A4275" t="s">
        <v>658</v>
      </c>
      <c r="B4275" t="s">
        <v>127</v>
      </c>
      <c r="E4275" s="3">
        <f>HYPERLINK("https://sao.dolgi.msk.ru/account/1404246394/", 1404246394)</f>
        <v>1404246394</v>
      </c>
      <c r="F4275">
        <v>-1784.12</v>
      </c>
    </row>
    <row r="4276" spans="1:6" hidden="1" x14ac:dyDescent="0.25">
      <c r="A4276" t="s">
        <v>658</v>
      </c>
      <c r="B4276" t="s">
        <v>128</v>
      </c>
      <c r="E4276" s="3">
        <f>HYPERLINK("https://sao.dolgi.msk.ru/account/1404249384/", 1404249384)</f>
        <v>1404249384</v>
      </c>
      <c r="F4276">
        <v>0</v>
      </c>
    </row>
    <row r="4277" spans="1:6" hidden="1" x14ac:dyDescent="0.25">
      <c r="A4277" t="s">
        <v>658</v>
      </c>
      <c r="B4277" t="s">
        <v>129</v>
      </c>
      <c r="E4277" s="3">
        <f>HYPERLINK("https://sao.dolgi.msk.ru/account/1404250174/", 1404250174)</f>
        <v>1404250174</v>
      </c>
      <c r="F4277">
        <v>-2579.11</v>
      </c>
    </row>
    <row r="4278" spans="1:6" hidden="1" x14ac:dyDescent="0.25">
      <c r="A4278" t="s">
        <v>658</v>
      </c>
      <c r="B4278" t="s">
        <v>130</v>
      </c>
      <c r="E4278" s="3">
        <f>HYPERLINK("https://sao.dolgi.msk.ru/account/1404247418/", 1404247418)</f>
        <v>1404247418</v>
      </c>
      <c r="F4278">
        <v>-4328.5</v>
      </c>
    </row>
    <row r="4279" spans="1:6" hidden="1" x14ac:dyDescent="0.25">
      <c r="A4279" t="s">
        <v>658</v>
      </c>
      <c r="B4279" t="s">
        <v>131</v>
      </c>
      <c r="E4279" s="3">
        <f>HYPERLINK("https://sao.dolgi.msk.ru/account/1404248533/", 1404248533)</f>
        <v>1404248533</v>
      </c>
      <c r="F4279">
        <v>-515.36</v>
      </c>
    </row>
    <row r="4280" spans="1:6" hidden="1" x14ac:dyDescent="0.25">
      <c r="A4280" t="s">
        <v>658</v>
      </c>
      <c r="B4280" t="s">
        <v>132</v>
      </c>
      <c r="E4280" s="3">
        <f>HYPERLINK("https://sao.dolgi.msk.ru/account/1404247194/", 1404247194)</f>
        <v>1404247194</v>
      </c>
      <c r="F4280">
        <v>-1502.52</v>
      </c>
    </row>
    <row r="4281" spans="1:6" hidden="1" x14ac:dyDescent="0.25">
      <c r="A4281" t="s">
        <v>658</v>
      </c>
      <c r="B4281" t="s">
        <v>133</v>
      </c>
      <c r="E4281" s="3">
        <f>HYPERLINK("https://sao.dolgi.msk.ru/account/1404249296/", 1404249296)</f>
        <v>1404249296</v>
      </c>
      <c r="F4281">
        <v>-2911.91</v>
      </c>
    </row>
    <row r="4282" spans="1:6" hidden="1" x14ac:dyDescent="0.25">
      <c r="A4282" t="s">
        <v>658</v>
      </c>
      <c r="B4282" t="s">
        <v>134</v>
      </c>
      <c r="E4282" s="3">
        <f>HYPERLINK("https://sao.dolgi.msk.ru/account/1404249034/", 1404249034)</f>
        <v>1404249034</v>
      </c>
      <c r="F4282">
        <v>-2579.11</v>
      </c>
    </row>
    <row r="4283" spans="1:6" x14ac:dyDescent="0.25">
      <c r="A4283" t="s">
        <v>658</v>
      </c>
      <c r="B4283" t="s">
        <v>135</v>
      </c>
      <c r="C4283" s="5" t="str">
        <f t="shared" ref="C4283:C4284" si="199">" кв. "&amp;B4283</f>
        <v xml:space="preserve"> кв. 131</v>
      </c>
      <c r="D4283" s="5" t="str">
        <f>CONCATENATE(A4283,C4283)</f>
        <v>Валдайский пр., дом 10 к.1 кв. 131</v>
      </c>
      <c r="E4283" s="3">
        <f>HYPERLINK("https://sao.dolgi.msk.ru/account/1404249528/", 1404249528)</f>
        <v>1404249528</v>
      </c>
      <c r="F4283">
        <v>1771.28</v>
      </c>
    </row>
    <row r="4284" spans="1:6" x14ac:dyDescent="0.25">
      <c r="A4284" t="s">
        <v>658</v>
      </c>
      <c r="B4284" t="s">
        <v>136</v>
      </c>
      <c r="C4284" s="5" t="str">
        <f t="shared" si="199"/>
        <v xml:space="preserve"> кв. 132</v>
      </c>
      <c r="D4284" s="5" t="str">
        <f>CONCATENATE(A4284,C4284)</f>
        <v>Валдайский пр., дом 10 к.1 кв. 132</v>
      </c>
      <c r="E4284" s="3">
        <f>HYPERLINK("https://sao.dolgi.msk.ru/account/1404247397/", 1404247397)</f>
        <v>1404247397</v>
      </c>
      <c r="F4284">
        <v>1771.28</v>
      </c>
    </row>
    <row r="4285" spans="1:6" hidden="1" x14ac:dyDescent="0.25">
      <c r="A4285" t="s">
        <v>658</v>
      </c>
      <c r="B4285" t="s">
        <v>137</v>
      </c>
      <c r="E4285" s="3">
        <f>HYPERLINK("https://sao.dolgi.msk.ru/account/1404245922/", 1404245922)</f>
        <v>1404245922</v>
      </c>
      <c r="F4285">
        <v>0</v>
      </c>
    </row>
    <row r="4286" spans="1:6" hidden="1" x14ac:dyDescent="0.25">
      <c r="A4286" t="s">
        <v>658</v>
      </c>
      <c r="B4286" t="s">
        <v>138</v>
      </c>
      <c r="E4286" s="3">
        <f>HYPERLINK("https://sao.dolgi.msk.ru/account/1404247733/", 1404247733)</f>
        <v>1404247733</v>
      </c>
      <c r="F4286">
        <v>-2479.5300000000002</v>
      </c>
    </row>
    <row r="4287" spans="1:6" x14ac:dyDescent="0.25">
      <c r="A4287" t="s">
        <v>658</v>
      </c>
      <c r="B4287" t="s">
        <v>139</v>
      </c>
      <c r="C4287" s="5" t="str">
        <f>" кв. "&amp;B4287</f>
        <v xml:space="preserve"> кв. 135</v>
      </c>
      <c r="D4287" s="5" t="str">
        <f>CONCATENATE(A4287,C4287)</f>
        <v>Валдайский пр., дом 10 к.1 кв. 135</v>
      </c>
      <c r="E4287" s="3">
        <f>HYPERLINK("https://sao.dolgi.msk.ru/account/1404250836/", 1404250836)</f>
        <v>1404250836</v>
      </c>
      <c r="F4287">
        <v>1246.22</v>
      </c>
    </row>
    <row r="4288" spans="1:6" hidden="1" x14ac:dyDescent="0.25">
      <c r="A4288" t="s">
        <v>658</v>
      </c>
      <c r="B4288" t="s">
        <v>140</v>
      </c>
      <c r="E4288" s="3">
        <f>HYPERLINK("https://sao.dolgi.msk.ru/account/1404246845/", 1404246845)</f>
        <v>1404246845</v>
      </c>
      <c r="F4288">
        <v>-2187.61</v>
      </c>
    </row>
    <row r="4289" spans="1:6" hidden="1" x14ac:dyDescent="0.25">
      <c r="A4289" t="s">
        <v>658</v>
      </c>
      <c r="B4289" t="s">
        <v>141</v>
      </c>
      <c r="E4289" s="3">
        <f>HYPERLINK("https://sao.dolgi.msk.ru/account/1404251257/", 1404251257)</f>
        <v>1404251257</v>
      </c>
      <c r="F4289">
        <v>-2579.11</v>
      </c>
    </row>
    <row r="4290" spans="1:6" hidden="1" x14ac:dyDescent="0.25">
      <c r="A4290" t="s">
        <v>658</v>
      </c>
      <c r="B4290" t="s">
        <v>142</v>
      </c>
      <c r="E4290" s="3">
        <f>HYPERLINK("https://sao.dolgi.msk.ru/account/1404249501/", 1404249501)</f>
        <v>1404249501</v>
      </c>
      <c r="F4290">
        <v>-988.4</v>
      </c>
    </row>
    <row r="4291" spans="1:6" x14ac:dyDescent="0.25">
      <c r="A4291" t="s">
        <v>658</v>
      </c>
      <c r="B4291" t="s">
        <v>143</v>
      </c>
      <c r="C4291" s="5" t="str">
        <f>" кв. "&amp;B4291</f>
        <v xml:space="preserve"> кв. 139</v>
      </c>
      <c r="D4291" s="5" t="str">
        <f>CONCATENATE(A4291,C4291)</f>
        <v>Валдайский пр., дом 10 к.1 кв. 139</v>
      </c>
      <c r="E4291" s="3">
        <f>HYPERLINK("https://sao.dolgi.msk.ru/account/1404248672/", 1404248672)</f>
        <v>1404248672</v>
      </c>
      <c r="F4291">
        <v>2011.67</v>
      </c>
    </row>
    <row r="4292" spans="1:6" hidden="1" x14ac:dyDescent="0.25">
      <c r="A4292" t="s">
        <v>658</v>
      </c>
      <c r="B4292" t="s">
        <v>144</v>
      </c>
      <c r="E4292" s="3">
        <f>HYPERLINK("https://sao.dolgi.msk.ru/account/1404248402/", 1404248402)</f>
        <v>1404248402</v>
      </c>
      <c r="F4292">
        <v>-2583.7399999999998</v>
      </c>
    </row>
    <row r="4293" spans="1:6" hidden="1" x14ac:dyDescent="0.25">
      <c r="A4293" t="s">
        <v>658</v>
      </c>
      <c r="B4293" t="s">
        <v>145</v>
      </c>
      <c r="E4293" s="3">
        <f>HYPERLINK("https://sao.dolgi.msk.ru/account/1404248576/", 1404248576)</f>
        <v>1404248576</v>
      </c>
      <c r="F4293">
        <v>-1821.1</v>
      </c>
    </row>
    <row r="4294" spans="1:6" x14ac:dyDescent="0.25">
      <c r="A4294" t="s">
        <v>658</v>
      </c>
      <c r="B4294" t="s">
        <v>146</v>
      </c>
      <c r="C4294" s="5" t="str">
        <f t="shared" ref="C4294:C4296" si="200">" кв. "&amp;B4294</f>
        <v xml:space="preserve"> кв. 142</v>
      </c>
      <c r="D4294" s="5" t="str">
        <f>CONCATENATE(A4294,C4294)</f>
        <v>Валдайский пр., дом 10 к.1 кв. 142</v>
      </c>
      <c r="E4294" s="3">
        <f>HYPERLINK("https://sao.dolgi.msk.ru/account/1404246941/", 1404246941)</f>
        <v>1404246941</v>
      </c>
      <c r="F4294">
        <v>1761.79</v>
      </c>
    </row>
    <row r="4295" spans="1:6" x14ac:dyDescent="0.25">
      <c r="A4295" t="s">
        <v>658</v>
      </c>
      <c r="B4295" t="s">
        <v>147</v>
      </c>
      <c r="C4295" s="5" t="str">
        <f t="shared" si="200"/>
        <v xml:space="preserve"> кв. 143</v>
      </c>
      <c r="D4295" s="5" t="str">
        <f>CONCATENATE(A4295,C4295)</f>
        <v>Валдайский пр., дом 10 к.1 кв. 143</v>
      </c>
      <c r="E4295" s="3">
        <f>HYPERLINK("https://sao.dolgi.msk.ru/account/1404251417/", 1404251417)</f>
        <v>1404251417</v>
      </c>
      <c r="F4295">
        <v>1230.4100000000001</v>
      </c>
    </row>
    <row r="4296" spans="1:6" x14ac:dyDescent="0.25">
      <c r="A4296" t="s">
        <v>658</v>
      </c>
      <c r="B4296" t="s">
        <v>148</v>
      </c>
      <c r="C4296" s="5" t="str">
        <f t="shared" si="200"/>
        <v xml:space="preserve"> кв. 144</v>
      </c>
      <c r="D4296" s="5" t="str">
        <f>CONCATENATE(A4296,C4296)</f>
        <v>Валдайский пр., дом 10 к.1 кв. 144</v>
      </c>
      <c r="E4296" s="3">
        <f>HYPERLINK("https://sao.dolgi.msk.ru/account/1404246589/", 1404246589)</f>
        <v>1404246589</v>
      </c>
      <c r="F4296">
        <v>1005.83</v>
      </c>
    </row>
    <row r="4297" spans="1:6" hidden="1" x14ac:dyDescent="0.25">
      <c r="A4297" t="s">
        <v>658</v>
      </c>
      <c r="B4297" t="s">
        <v>148</v>
      </c>
      <c r="E4297" s="3">
        <f>HYPERLINK("https://sao.dolgi.msk.ru/account/1404250158/", 1404250158)</f>
        <v>1404250158</v>
      </c>
      <c r="F4297">
        <v>-1469.81</v>
      </c>
    </row>
    <row r="4298" spans="1:6" x14ac:dyDescent="0.25">
      <c r="A4298" t="s">
        <v>658</v>
      </c>
      <c r="B4298" t="s">
        <v>149</v>
      </c>
      <c r="C4298" s="5" t="str">
        <f>" кв. "&amp;B4298</f>
        <v xml:space="preserve"> кв. 145</v>
      </c>
      <c r="D4298" s="5" t="str">
        <f>CONCATENATE(A4298,C4298)</f>
        <v>Валдайский пр., дом 10 к.1 кв. 145</v>
      </c>
      <c r="E4298" s="3">
        <f>HYPERLINK("https://sao.dolgi.msk.ru/account/1404249659/", 1404249659)</f>
        <v>1404249659</v>
      </c>
      <c r="F4298">
        <v>1764.95</v>
      </c>
    </row>
    <row r="4299" spans="1:6" hidden="1" x14ac:dyDescent="0.25">
      <c r="A4299" t="s">
        <v>658</v>
      </c>
      <c r="B4299" t="s">
        <v>150</v>
      </c>
      <c r="E4299" s="3">
        <f>HYPERLINK("https://sao.dolgi.msk.ru/account/1404250756/", 1404250756)</f>
        <v>1404250756</v>
      </c>
      <c r="F4299">
        <v>-2588.36</v>
      </c>
    </row>
    <row r="4300" spans="1:6" hidden="1" x14ac:dyDescent="0.25">
      <c r="A4300" t="s">
        <v>658</v>
      </c>
      <c r="B4300" t="s">
        <v>151</v>
      </c>
      <c r="E4300" s="3">
        <f>HYPERLINK("https://sao.dolgi.msk.ru/account/1404247071/", 1404247071)</f>
        <v>1404247071</v>
      </c>
      <c r="F4300">
        <v>0</v>
      </c>
    </row>
    <row r="4301" spans="1:6" hidden="1" x14ac:dyDescent="0.25">
      <c r="A4301" t="s">
        <v>658</v>
      </c>
      <c r="B4301" t="s">
        <v>152</v>
      </c>
      <c r="E4301" s="3">
        <f>HYPERLINK("https://sao.dolgi.msk.ru/account/1404251142/", 1404251142)</f>
        <v>1404251142</v>
      </c>
      <c r="F4301">
        <v>-1797.99</v>
      </c>
    </row>
    <row r="4302" spans="1:6" hidden="1" x14ac:dyDescent="0.25">
      <c r="A4302" t="s">
        <v>658</v>
      </c>
      <c r="B4302" t="s">
        <v>153</v>
      </c>
      <c r="E4302" s="3">
        <f>HYPERLINK("https://sao.dolgi.msk.ru/account/1404245973/", 1404245973)</f>
        <v>1404245973</v>
      </c>
      <c r="F4302">
        <v>-2186.23</v>
      </c>
    </row>
    <row r="4303" spans="1:6" hidden="1" x14ac:dyDescent="0.25">
      <c r="A4303" t="s">
        <v>658</v>
      </c>
      <c r="B4303" t="s">
        <v>154</v>
      </c>
      <c r="E4303" s="3">
        <f>HYPERLINK("https://sao.dolgi.msk.ru/account/1404247311/", 1404247311)</f>
        <v>1404247311</v>
      </c>
      <c r="F4303">
        <v>0</v>
      </c>
    </row>
    <row r="4304" spans="1:6" hidden="1" x14ac:dyDescent="0.25">
      <c r="A4304" t="s">
        <v>658</v>
      </c>
      <c r="B4304" t="s">
        <v>155</v>
      </c>
      <c r="E4304" s="3">
        <f>HYPERLINK("https://sao.dolgi.msk.ru/account/1404246474/", 1404246474)</f>
        <v>1404246474</v>
      </c>
      <c r="F4304">
        <v>-1941.28</v>
      </c>
    </row>
    <row r="4305" spans="1:6" x14ac:dyDescent="0.25">
      <c r="A4305" t="s">
        <v>658</v>
      </c>
      <c r="B4305" t="s">
        <v>156</v>
      </c>
      <c r="C4305" s="5" t="str">
        <f>" кв. "&amp;B4305</f>
        <v xml:space="preserve"> кв. 152</v>
      </c>
      <c r="D4305" s="5" t="str">
        <f>CONCATENATE(A4305,C4305)</f>
        <v>Валдайский пр., дом 10 к.1 кв. 152</v>
      </c>
      <c r="E4305" s="3">
        <f>HYPERLINK("https://sao.dolgi.msk.ru/account/1404248859/", 1404248859)</f>
        <v>1404248859</v>
      </c>
      <c r="F4305">
        <v>1768.12</v>
      </c>
    </row>
    <row r="4306" spans="1:6" hidden="1" x14ac:dyDescent="0.25">
      <c r="A4306" t="s">
        <v>658</v>
      </c>
      <c r="B4306" t="s">
        <v>157</v>
      </c>
      <c r="E4306" s="3">
        <f>HYPERLINK("https://sao.dolgi.msk.ru/account/1404249018/", 1404249018)</f>
        <v>1404249018</v>
      </c>
      <c r="F4306">
        <v>-1845.17</v>
      </c>
    </row>
    <row r="4307" spans="1:6" hidden="1" x14ac:dyDescent="0.25">
      <c r="A4307" t="s">
        <v>658</v>
      </c>
      <c r="B4307" t="s">
        <v>158</v>
      </c>
      <c r="E4307" s="3">
        <f>HYPERLINK("https://sao.dolgi.msk.ru/account/1404246378/", 1404246378)</f>
        <v>1404246378</v>
      </c>
      <c r="F4307">
        <v>0</v>
      </c>
    </row>
    <row r="4308" spans="1:6" x14ac:dyDescent="0.25">
      <c r="A4308" t="s">
        <v>658</v>
      </c>
      <c r="B4308" t="s">
        <v>159</v>
      </c>
      <c r="C4308" s="5" t="str">
        <f>" кв. "&amp;B4308</f>
        <v xml:space="preserve"> кв. 155</v>
      </c>
      <c r="D4308" s="5" t="str">
        <f>CONCATENATE(A4308,C4308)</f>
        <v>Валдайский пр., дом 10 к.1 кв. 155</v>
      </c>
      <c r="E4308" s="3">
        <f>HYPERLINK("https://sao.dolgi.msk.ru/account/1404250748/", 1404250748)</f>
        <v>1404250748</v>
      </c>
      <c r="F4308">
        <v>1768.12</v>
      </c>
    </row>
    <row r="4309" spans="1:6" hidden="1" x14ac:dyDescent="0.25">
      <c r="A4309" t="s">
        <v>658</v>
      </c>
      <c r="B4309" t="s">
        <v>160</v>
      </c>
      <c r="E4309" s="3">
        <f>HYPERLINK("https://sao.dolgi.msk.ru/account/1404247565/", 1404247565)</f>
        <v>1404247565</v>
      </c>
      <c r="F4309">
        <v>-1811.85</v>
      </c>
    </row>
    <row r="4310" spans="1:6" hidden="1" x14ac:dyDescent="0.25">
      <c r="A4310" t="s">
        <v>658</v>
      </c>
      <c r="B4310" t="s">
        <v>161</v>
      </c>
      <c r="E4310" s="3">
        <f>HYPERLINK("https://sao.dolgi.msk.ru/account/1404248939/", 1404248939)</f>
        <v>1404248939</v>
      </c>
      <c r="F4310">
        <v>-2574.4899999999998</v>
      </c>
    </row>
    <row r="4311" spans="1:6" hidden="1" x14ac:dyDescent="0.25">
      <c r="A4311" t="s">
        <v>658</v>
      </c>
      <c r="B4311" t="s">
        <v>162</v>
      </c>
      <c r="E4311" s="3">
        <f>HYPERLINK("https://sao.dolgi.msk.ru/account/1404250983/", 1404250983)</f>
        <v>1404250983</v>
      </c>
      <c r="F4311">
        <v>0</v>
      </c>
    </row>
    <row r="4312" spans="1:6" x14ac:dyDescent="0.25">
      <c r="A4312" t="s">
        <v>658</v>
      </c>
      <c r="B4312" t="s">
        <v>163</v>
      </c>
      <c r="C4312" s="5" t="str">
        <f>" кв. "&amp;B4312</f>
        <v xml:space="preserve"> кв. 159</v>
      </c>
      <c r="D4312" s="5" t="str">
        <f>CONCATENATE(A4312,C4312)</f>
        <v>Валдайский пр., дом 10 к.1 кв. 159</v>
      </c>
      <c r="E4312" s="3">
        <f>HYPERLINK("https://sao.dolgi.msk.ru/account/1404248584/", 1404248584)</f>
        <v>1404248584</v>
      </c>
      <c r="F4312">
        <v>1999.02</v>
      </c>
    </row>
    <row r="4313" spans="1:6" hidden="1" x14ac:dyDescent="0.25">
      <c r="A4313" t="s">
        <v>658</v>
      </c>
      <c r="B4313" t="s">
        <v>164</v>
      </c>
      <c r="E4313" s="3">
        <f>HYPERLINK("https://sao.dolgi.msk.ru/account/1404247848/", 1404247848)</f>
        <v>1404247848</v>
      </c>
      <c r="F4313">
        <v>0</v>
      </c>
    </row>
    <row r="4314" spans="1:6" x14ac:dyDescent="0.25">
      <c r="A4314" t="s">
        <v>658</v>
      </c>
      <c r="B4314" t="s">
        <v>165</v>
      </c>
      <c r="C4314" s="5" t="str">
        <f>" кв. "&amp;B4314</f>
        <v xml:space="preserve"> кв. 161</v>
      </c>
      <c r="D4314" s="5" t="str">
        <f>CONCATENATE(A4314,C4314)</f>
        <v>Валдайский пр., дом 10 к.1 кв. 161</v>
      </c>
      <c r="E4314" s="3">
        <f>HYPERLINK("https://sao.dolgi.msk.ru/account/1404249966/", 1404249966)</f>
        <v>1404249966</v>
      </c>
      <c r="F4314">
        <v>1771.28</v>
      </c>
    </row>
    <row r="4315" spans="1:6" hidden="1" x14ac:dyDescent="0.25">
      <c r="A4315" t="s">
        <v>658</v>
      </c>
      <c r="B4315" t="s">
        <v>166</v>
      </c>
      <c r="E4315" s="3">
        <f>HYPERLINK("https://sao.dolgi.msk.ru/account/1404250465/", 1404250465)</f>
        <v>1404250465</v>
      </c>
      <c r="F4315">
        <v>-2371.31</v>
      </c>
    </row>
    <row r="4316" spans="1:6" x14ac:dyDescent="0.25">
      <c r="A4316" t="s">
        <v>658</v>
      </c>
      <c r="B4316" t="s">
        <v>167</v>
      </c>
      <c r="C4316" s="5" t="str">
        <f t="shared" ref="C4316:C4317" si="201">" кв. "&amp;B4316</f>
        <v xml:space="preserve"> кв. 163</v>
      </c>
      <c r="D4316" s="5" t="str">
        <f>CONCATENATE(A4316,C4316)</f>
        <v>Валдайский пр., дом 10 к.1 кв. 163</v>
      </c>
      <c r="E4316" s="3">
        <f>HYPERLINK("https://sao.dolgi.msk.ru/account/1404249026/", 1404249026)</f>
        <v>1404249026</v>
      </c>
      <c r="F4316">
        <v>1230.4100000000001</v>
      </c>
    </row>
    <row r="4317" spans="1:6" x14ac:dyDescent="0.25">
      <c r="A4317" t="s">
        <v>658</v>
      </c>
      <c r="B4317" t="s">
        <v>168</v>
      </c>
      <c r="C4317" s="5" t="str">
        <f t="shared" si="201"/>
        <v xml:space="preserve"> кв. 164</v>
      </c>
      <c r="D4317" s="5" t="str">
        <f>CONCATENATE(A4317,C4317)</f>
        <v>Валдайский пр., дом 10 к.1 кв. 164</v>
      </c>
      <c r="E4317" s="3">
        <f>HYPERLINK("https://sao.dolgi.msk.ru/account/1404247936/", 1404247936)</f>
        <v>1404247936</v>
      </c>
      <c r="F4317">
        <v>1999.02</v>
      </c>
    </row>
    <row r="4318" spans="1:6" hidden="1" x14ac:dyDescent="0.25">
      <c r="A4318" t="s">
        <v>658</v>
      </c>
      <c r="B4318" t="s">
        <v>169</v>
      </c>
      <c r="E4318" s="3">
        <f>HYPERLINK("https://sao.dolgi.msk.ru/account/1404249333/", 1404249333)</f>
        <v>1404249333</v>
      </c>
      <c r="F4318">
        <v>-2583.7399999999998</v>
      </c>
    </row>
    <row r="4319" spans="1:6" hidden="1" x14ac:dyDescent="0.25">
      <c r="A4319" t="s">
        <v>658</v>
      </c>
      <c r="B4319" t="s">
        <v>170</v>
      </c>
      <c r="E4319" s="3">
        <f>HYPERLINK("https://sao.dolgi.msk.ru/account/1404247696/", 1404247696)</f>
        <v>1404247696</v>
      </c>
      <c r="F4319">
        <v>-1296.5</v>
      </c>
    </row>
    <row r="4320" spans="1:6" hidden="1" x14ac:dyDescent="0.25">
      <c r="A4320" t="s">
        <v>658</v>
      </c>
      <c r="B4320" t="s">
        <v>171</v>
      </c>
      <c r="E4320" s="3">
        <f>HYPERLINK("https://sao.dolgi.msk.ru/account/1404250123/", 1404250123)</f>
        <v>1404250123</v>
      </c>
      <c r="F4320">
        <v>-2579.11</v>
      </c>
    </row>
    <row r="4321" spans="1:6" hidden="1" x14ac:dyDescent="0.25">
      <c r="A4321" t="s">
        <v>658</v>
      </c>
      <c r="B4321" t="s">
        <v>172</v>
      </c>
      <c r="E4321" s="3">
        <f>HYPERLINK("https://sao.dolgi.msk.ru/account/1404247274/", 1404247274)</f>
        <v>1404247274</v>
      </c>
      <c r="F4321">
        <v>-283.8</v>
      </c>
    </row>
    <row r="4322" spans="1:6" hidden="1" x14ac:dyDescent="0.25">
      <c r="A4322" t="s">
        <v>658</v>
      </c>
      <c r="B4322" t="s">
        <v>173</v>
      </c>
      <c r="E4322" s="3">
        <f>HYPERLINK("https://sao.dolgi.msk.ru/account/1404248971/", 1404248971)</f>
        <v>1404248971</v>
      </c>
      <c r="F4322">
        <v>-2935.01</v>
      </c>
    </row>
    <row r="4323" spans="1:6" x14ac:dyDescent="0.25">
      <c r="A4323" t="s">
        <v>658</v>
      </c>
      <c r="B4323" t="s">
        <v>174</v>
      </c>
      <c r="C4323" s="5" t="str">
        <f>" кв. "&amp;B4323</f>
        <v xml:space="preserve"> кв. 170</v>
      </c>
      <c r="D4323" s="5" t="str">
        <f>CONCATENATE(A4323,C4323)</f>
        <v>Валдайский пр., дом 10 к.1 кв. 170</v>
      </c>
      <c r="E4323" s="3">
        <f>HYPERLINK("https://sao.dolgi.msk.ru/account/1404250609/", 1404250609)</f>
        <v>1404250609</v>
      </c>
      <c r="F4323">
        <v>1265.2</v>
      </c>
    </row>
    <row r="4324" spans="1:6" hidden="1" x14ac:dyDescent="0.25">
      <c r="A4324" t="s">
        <v>658</v>
      </c>
      <c r="B4324" t="s">
        <v>175</v>
      </c>
      <c r="E4324" s="3">
        <f>HYPERLINK("https://sao.dolgi.msk.ru/account/1404249325/", 1404249325)</f>
        <v>1404249325</v>
      </c>
      <c r="F4324">
        <v>0</v>
      </c>
    </row>
    <row r="4325" spans="1:6" x14ac:dyDescent="0.25">
      <c r="A4325" t="s">
        <v>658</v>
      </c>
      <c r="B4325" t="s">
        <v>176</v>
      </c>
      <c r="C4325" s="5" t="str">
        <f>" кв. "&amp;B4325</f>
        <v xml:space="preserve"> кв. 172</v>
      </c>
      <c r="D4325" s="5" t="str">
        <f>CONCATENATE(A4325,C4325)</f>
        <v>Валдайский пр., дом 10 к.1 кв. 172</v>
      </c>
      <c r="E4325" s="3">
        <f>HYPERLINK("https://sao.dolgi.msk.ru/account/1404249683/", 1404249683)</f>
        <v>1404249683</v>
      </c>
      <c r="F4325">
        <v>1768.12</v>
      </c>
    </row>
    <row r="4326" spans="1:6" hidden="1" x14ac:dyDescent="0.25">
      <c r="A4326" t="s">
        <v>658</v>
      </c>
      <c r="B4326" t="s">
        <v>177</v>
      </c>
      <c r="E4326" s="3">
        <f>HYPERLINK("https://sao.dolgi.msk.ru/account/1404248453/", 1404248453)</f>
        <v>1404248453</v>
      </c>
      <c r="F4326">
        <v>0</v>
      </c>
    </row>
    <row r="4327" spans="1:6" hidden="1" x14ac:dyDescent="0.25">
      <c r="A4327" t="s">
        <v>658</v>
      </c>
      <c r="B4327" t="s">
        <v>178</v>
      </c>
      <c r="E4327" s="3">
        <f>HYPERLINK("https://sao.dolgi.msk.ru/account/1404246896/", 1404246896)</f>
        <v>1404246896</v>
      </c>
      <c r="F4327">
        <v>-2916.53</v>
      </c>
    </row>
    <row r="4328" spans="1:6" x14ac:dyDescent="0.25">
      <c r="A4328" t="s">
        <v>658</v>
      </c>
      <c r="B4328" t="s">
        <v>179</v>
      </c>
      <c r="C4328" s="5" t="str">
        <f t="shared" ref="C4328:C4330" si="202">" кв. "&amp;B4328</f>
        <v xml:space="preserve"> кв. 175</v>
      </c>
      <c r="D4328" s="5" t="str">
        <f>CONCATENATE(A4328,C4328)</f>
        <v>Валдайский пр., дом 10 к.1 кв. 175</v>
      </c>
      <c r="E4328" s="3">
        <f>HYPERLINK("https://sao.dolgi.msk.ru/account/1404248242/", 1404248242)</f>
        <v>1404248242</v>
      </c>
      <c r="F4328">
        <v>1780.77</v>
      </c>
    </row>
    <row r="4329" spans="1:6" x14ac:dyDescent="0.25">
      <c r="A4329" t="s">
        <v>658</v>
      </c>
      <c r="B4329" t="s">
        <v>180</v>
      </c>
      <c r="C4329" s="5" t="str">
        <f t="shared" si="202"/>
        <v xml:space="preserve"> кв. 176</v>
      </c>
      <c r="D4329" s="5" t="str">
        <f>CONCATENATE(A4329,C4329)</f>
        <v>Валдайский пр., дом 10 к.1 кв. 176</v>
      </c>
      <c r="E4329" s="3">
        <f>HYPERLINK("https://sao.dolgi.msk.ru/account/1404249608/", 1404249608)</f>
        <v>1404249608</v>
      </c>
      <c r="F4329">
        <v>1768.12</v>
      </c>
    </row>
    <row r="4330" spans="1:6" x14ac:dyDescent="0.25">
      <c r="A4330" t="s">
        <v>658</v>
      </c>
      <c r="B4330" t="s">
        <v>181</v>
      </c>
      <c r="C4330" s="5" t="str">
        <f t="shared" si="202"/>
        <v xml:space="preserve"> кв. 177</v>
      </c>
      <c r="D4330" s="5" t="str">
        <f>CONCATENATE(A4330,C4330)</f>
        <v>Валдайский пр., дом 10 к.1 кв. 177</v>
      </c>
      <c r="E4330" s="3">
        <f>HYPERLINK("https://sao.dolgi.msk.ru/account/1404248883/", 1404248883)</f>
        <v>1404248883</v>
      </c>
      <c r="F4330">
        <v>1768.12</v>
      </c>
    </row>
    <row r="4331" spans="1:6" hidden="1" x14ac:dyDescent="0.25">
      <c r="A4331" t="s">
        <v>658</v>
      </c>
      <c r="B4331" t="s">
        <v>182</v>
      </c>
      <c r="E4331" s="3">
        <f>HYPERLINK("https://sao.dolgi.msk.ru/account/1404248322/", 1404248322)</f>
        <v>1404248322</v>
      </c>
      <c r="F4331">
        <v>-1793.36</v>
      </c>
    </row>
    <row r="4332" spans="1:6" hidden="1" x14ac:dyDescent="0.25">
      <c r="A4332" t="s">
        <v>658</v>
      </c>
      <c r="B4332" t="s">
        <v>183</v>
      </c>
      <c r="E4332" s="3">
        <f>HYPERLINK("https://sao.dolgi.msk.ru/account/1404245914/", 1404245914)</f>
        <v>1404245914</v>
      </c>
      <c r="F4332">
        <v>-2944.25</v>
      </c>
    </row>
    <row r="4333" spans="1:6" hidden="1" x14ac:dyDescent="0.25">
      <c r="A4333" t="s">
        <v>658</v>
      </c>
      <c r="B4333" t="s">
        <v>184</v>
      </c>
      <c r="E4333" s="3">
        <f>HYPERLINK("https://sao.dolgi.msk.ru/account/1404249587/", 1404249587)</f>
        <v>1404249587</v>
      </c>
      <c r="F4333">
        <v>-2583.7399999999998</v>
      </c>
    </row>
    <row r="4334" spans="1:6" x14ac:dyDescent="0.25">
      <c r="A4334" t="s">
        <v>658</v>
      </c>
      <c r="B4334" t="s">
        <v>185</v>
      </c>
      <c r="C4334" s="5" t="str">
        <f>" кв. "&amp;B4334</f>
        <v xml:space="preserve"> кв. 181</v>
      </c>
      <c r="D4334" s="5" t="str">
        <f>CONCATENATE(A4334,C4334)</f>
        <v>Валдайский пр., дом 10 к.1 кв. 181</v>
      </c>
      <c r="E4334" s="3">
        <f>HYPERLINK("https://sao.dolgi.msk.ru/account/1404246562/", 1404246562)</f>
        <v>1404246562</v>
      </c>
      <c r="F4334">
        <v>1764.95</v>
      </c>
    </row>
    <row r="4335" spans="1:6" hidden="1" x14ac:dyDescent="0.25">
      <c r="A4335" t="s">
        <v>658</v>
      </c>
      <c r="B4335" t="s">
        <v>186</v>
      </c>
      <c r="E4335" s="3">
        <f>HYPERLINK("https://sao.dolgi.msk.ru/account/1404249624/", 1404249624)</f>
        <v>1404249624</v>
      </c>
      <c r="F4335">
        <v>-1830.34</v>
      </c>
    </row>
    <row r="4336" spans="1:6" x14ac:dyDescent="0.25">
      <c r="A4336" t="s">
        <v>658</v>
      </c>
      <c r="B4336" t="s">
        <v>187</v>
      </c>
      <c r="C4336" s="5" t="str">
        <f t="shared" ref="C4336:C4337" si="203">" кв. "&amp;B4336</f>
        <v xml:space="preserve"> кв. 183</v>
      </c>
      <c r="D4336" s="5" t="str">
        <f>CONCATENATE(A4336,C4336)</f>
        <v>Валдайский пр., дом 10 к.1 кв. 183</v>
      </c>
      <c r="E4336" s="3">
        <f>HYPERLINK("https://sao.dolgi.msk.ru/account/1404250991/", 1404250991)</f>
        <v>1404250991</v>
      </c>
      <c r="F4336">
        <v>1233.57</v>
      </c>
    </row>
    <row r="4337" spans="1:6" x14ac:dyDescent="0.25">
      <c r="A4337" t="s">
        <v>658</v>
      </c>
      <c r="B4337" t="s">
        <v>188</v>
      </c>
      <c r="C4337" s="5" t="str">
        <f t="shared" si="203"/>
        <v xml:space="preserve"> кв. 184</v>
      </c>
      <c r="D4337" s="5" t="str">
        <f>CONCATENATE(A4337,C4337)</f>
        <v>Валдайский пр., дом 10 к.1 кв. 184</v>
      </c>
      <c r="E4337" s="3">
        <f>HYPERLINK("https://sao.dolgi.msk.ru/account/1404246618/", 1404246618)</f>
        <v>1404246618</v>
      </c>
      <c r="F4337">
        <v>2008.51</v>
      </c>
    </row>
    <row r="4338" spans="1:6" hidden="1" x14ac:dyDescent="0.25">
      <c r="A4338" t="s">
        <v>658</v>
      </c>
      <c r="B4338" t="s">
        <v>189</v>
      </c>
      <c r="E4338" s="3">
        <f>HYPERLINK("https://sao.dolgi.msk.ru/account/1404248429/", 1404248429)</f>
        <v>1404248429</v>
      </c>
      <c r="F4338">
        <v>-2583.7399999999998</v>
      </c>
    </row>
    <row r="4339" spans="1:6" hidden="1" x14ac:dyDescent="0.25">
      <c r="A4339" t="s">
        <v>658</v>
      </c>
      <c r="B4339" t="s">
        <v>190</v>
      </c>
      <c r="E4339" s="3">
        <f>HYPERLINK("https://sao.dolgi.msk.ru/account/1404246669/", 1404246669)</f>
        <v>1404246669</v>
      </c>
      <c r="F4339">
        <v>-1657.92</v>
      </c>
    </row>
    <row r="4340" spans="1:6" hidden="1" x14ac:dyDescent="0.25">
      <c r="A4340" t="s">
        <v>658</v>
      </c>
      <c r="B4340" t="s">
        <v>191</v>
      </c>
      <c r="E4340" s="3">
        <f>HYPERLINK("https://sao.dolgi.msk.ru/account/1404250844/", 1404250844)</f>
        <v>1404250844</v>
      </c>
      <c r="F4340">
        <v>-2583.7399999999998</v>
      </c>
    </row>
    <row r="4341" spans="1:6" hidden="1" x14ac:dyDescent="0.25">
      <c r="A4341" t="s">
        <v>658</v>
      </c>
      <c r="B4341" t="s">
        <v>192</v>
      </c>
      <c r="E4341" s="3">
        <f>HYPERLINK("https://sao.dolgi.msk.ru/account/1404250713/", 1404250713)</f>
        <v>1404250713</v>
      </c>
      <c r="F4341">
        <v>0</v>
      </c>
    </row>
    <row r="4342" spans="1:6" x14ac:dyDescent="0.25">
      <c r="A4342" t="s">
        <v>658</v>
      </c>
      <c r="B4342" t="s">
        <v>193</v>
      </c>
      <c r="C4342" s="5" t="str">
        <f>" кв. "&amp;B4342</f>
        <v xml:space="preserve"> кв. 189</v>
      </c>
      <c r="D4342" s="5" t="str">
        <f>CONCATENATE(A4342,C4342)</f>
        <v>Валдайский пр., дом 10 к.1 кв. 189</v>
      </c>
      <c r="E4342" s="3">
        <f>HYPERLINK("https://sao.dolgi.msk.ru/account/1404249181/", 1404249181)</f>
        <v>1404249181</v>
      </c>
      <c r="F4342">
        <v>2014.83</v>
      </c>
    </row>
    <row r="4343" spans="1:6" hidden="1" x14ac:dyDescent="0.25">
      <c r="A4343" t="s">
        <v>658</v>
      </c>
      <c r="B4343" t="s">
        <v>194</v>
      </c>
      <c r="E4343" s="3">
        <f>HYPERLINK("https://sao.dolgi.msk.ru/account/1404248752/", 1404248752)</f>
        <v>1404248752</v>
      </c>
      <c r="F4343">
        <v>-2066.9899999999998</v>
      </c>
    </row>
    <row r="4344" spans="1:6" hidden="1" x14ac:dyDescent="0.25">
      <c r="A4344" t="s">
        <v>658</v>
      </c>
      <c r="B4344" t="s">
        <v>194</v>
      </c>
      <c r="E4344" s="3">
        <f>HYPERLINK("https://sao.dolgi.msk.ru/account/1404249229/", 1404249229)</f>
        <v>1404249229</v>
      </c>
      <c r="F4344">
        <v>-516.74</v>
      </c>
    </row>
    <row r="4345" spans="1:6" hidden="1" x14ac:dyDescent="0.25">
      <c r="A4345" t="s">
        <v>658</v>
      </c>
      <c r="B4345" t="s">
        <v>195</v>
      </c>
      <c r="E4345" s="3">
        <f>HYPERLINK("https://sao.dolgi.msk.ru/account/1404246853/", 1404246853)</f>
        <v>1404246853</v>
      </c>
      <c r="F4345">
        <v>-2179.8200000000002</v>
      </c>
    </row>
    <row r="4346" spans="1:6" hidden="1" x14ac:dyDescent="0.25">
      <c r="A4346" t="s">
        <v>658</v>
      </c>
      <c r="B4346" t="s">
        <v>196</v>
      </c>
      <c r="E4346" s="3">
        <f>HYPERLINK("https://sao.dolgi.msk.ru/account/1404246722/", 1404246722)</f>
        <v>1404246722</v>
      </c>
      <c r="F4346">
        <v>0</v>
      </c>
    </row>
    <row r="4347" spans="1:6" x14ac:dyDescent="0.25">
      <c r="A4347" t="s">
        <v>658</v>
      </c>
      <c r="B4347" t="s">
        <v>197</v>
      </c>
      <c r="C4347" s="5" t="str">
        <f t="shared" ref="C4347:C4349" si="204">" кв. "&amp;B4347</f>
        <v xml:space="preserve"> кв. 193</v>
      </c>
      <c r="D4347" s="5" t="str">
        <f>CONCATENATE(A4347,C4347)</f>
        <v>Валдайский пр., дом 10 к.1 кв. 193</v>
      </c>
      <c r="E4347" s="3">
        <f>HYPERLINK("https://sao.dolgi.msk.ru/account/1404246212/", 1404246212)</f>
        <v>1404246212</v>
      </c>
      <c r="F4347">
        <v>616.78</v>
      </c>
    </row>
    <row r="4348" spans="1:6" x14ac:dyDescent="0.25">
      <c r="A4348" t="s">
        <v>658</v>
      </c>
      <c r="B4348" t="s">
        <v>198</v>
      </c>
      <c r="C4348" s="5" t="str">
        <f t="shared" si="204"/>
        <v xml:space="preserve"> кв. 194</v>
      </c>
      <c r="D4348" s="5" t="str">
        <f>CONCATENATE(A4348,C4348)</f>
        <v>Валдайский пр., дом 10 к.1 кв. 194</v>
      </c>
      <c r="E4348" s="3">
        <f>HYPERLINK("https://sao.dolgi.msk.ru/account/1404250262/", 1404250262)</f>
        <v>1404250262</v>
      </c>
      <c r="F4348">
        <v>2024.32</v>
      </c>
    </row>
    <row r="4349" spans="1:6" x14ac:dyDescent="0.25">
      <c r="A4349" t="s">
        <v>658</v>
      </c>
      <c r="B4349" t="s">
        <v>199</v>
      </c>
      <c r="C4349" s="5" t="str">
        <f t="shared" si="204"/>
        <v xml:space="preserve"> кв. 195</v>
      </c>
      <c r="D4349" s="5" t="str">
        <f>CONCATENATE(A4349,C4349)</f>
        <v>Валдайский пр., дом 10 к.1 кв. 195</v>
      </c>
      <c r="E4349" s="3">
        <f>HYPERLINK("https://sao.dolgi.msk.ru/account/1404250916/", 1404250916)</f>
        <v>1404250916</v>
      </c>
      <c r="F4349">
        <v>1774.44</v>
      </c>
    </row>
    <row r="4350" spans="1:6" hidden="1" x14ac:dyDescent="0.25">
      <c r="A4350" t="s">
        <v>658</v>
      </c>
      <c r="B4350" t="s">
        <v>200</v>
      </c>
      <c r="E4350" s="3">
        <f>HYPERLINK("https://sao.dolgi.msk.ru/account/1404248138/", 1404248138)</f>
        <v>1404248138</v>
      </c>
      <c r="F4350">
        <v>-1654.04</v>
      </c>
    </row>
    <row r="4351" spans="1:6" hidden="1" x14ac:dyDescent="0.25">
      <c r="A4351" t="s">
        <v>658</v>
      </c>
      <c r="B4351" t="s">
        <v>201</v>
      </c>
      <c r="E4351" s="3">
        <f>HYPERLINK("https://sao.dolgi.msk.ru/account/1404250617/", 1404250617)</f>
        <v>1404250617</v>
      </c>
      <c r="F4351">
        <v>-2572.12</v>
      </c>
    </row>
    <row r="4352" spans="1:6" hidden="1" x14ac:dyDescent="0.25">
      <c r="A4352" t="s">
        <v>658</v>
      </c>
      <c r="B4352" t="s">
        <v>202</v>
      </c>
      <c r="E4352" s="3">
        <f>HYPERLINK("https://sao.dolgi.msk.ru/account/1404250326/", 1404250326)</f>
        <v>1404250326</v>
      </c>
      <c r="F4352">
        <v>0</v>
      </c>
    </row>
    <row r="4353" spans="1:6" hidden="1" x14ac:dyDescent="0.25">
      <c r="A4353" t="s">
        <v>658</v>
      </c>
      <c r="B4353" t="s">
        <v>203</v>
      </c>
      <c r="E4353" s="3">
        <f>HYPERLINK("https://sao.dolgi.msk.ru/account/1404248162/", 1404248162)</f>
        <v>1404248162</v>
      </c>
      <c r="F4353">
        <v>-2176.9899999999998</v>
      </c>
    </row>
    <row r="4354" spans="1:6" hidden="1" x14ac:dyDescent="0.25">
      <c r="A4354" t="s">
        <v>658</v>
      </c>
      <c r="B4354" t="s">
        <v>204</v>
      </c>
      <c r="E4354" s="3">
        <f>HYPERLINK("https://sao.dolgi.msk.ru/account/1404250203/", 1404250203)</f>
        <v>1404250203</v>
      </c>
      <c r="F4354">
        <v>0</v>
      </c>
    </row>
    <row r="4355" spans="1:6" hidden="1" x14ac:dyDescent="0.25">
      <c r="A4355" t="s">
        <v>658</v>
      </c>
      <c r="B4355" t="s">
        <v>205</v>
      </c>
      <c r="E4355" s="3">
        <f>HYPERLINK("https://sao.dolgi.msk.ru/account/1404250094/", 1404250094)</f>
        <v>1404250094</v>
      </c>
      <c r="F4355">
        <v>0</v>
      </c>
    </row>
    <row r="4356" spans="1:6" hidden="1" x14ac:dyDescent="0.25">
      <c r="A4356" t="s">
        <v>658</v>
      </c>
      <c r="B4356" t="s">
        <v>206</v>
      </c>
      <c r="E4356" s="3">
        <f>HYPERLINK("https://sao.dolgi.msk.ru/account/1404249907/", 1404249907)</f>
        <v>1404249907</v>
      </c>
      <c r="F4356">
        <v>0</v>
      </c>
    </row>
    <row r="4357" spans="1:6" hidden="1" x14ac:dyDescent="0.25">
      <c r="A4357" t="s">
        <v>658</v>
      </c>
      <c r="B4357" t="s">
        <v>207</v>
      </c>
      <c r="E4357" s="3">
        <f>HYPERLINK("https://sao.dolgi.msk.ru/account/1404246976/", 1404246976)</f>
        <v>1404246976</v>
      </c>
      <c r="F4357">
        <v>-1035.3499999999999</v>
      </c>
    </row>
    <row r="4358" spans="1:6" x14ac:dyDescent="0.25">
      <c r="A4358" t="s">
        <v>658</v>
      </c>
      <c r="B4358" t="s">
        <v>208</v>
      </c>
      <c r="C4358" s="5" t="str">
        <f>" кв. "&amp;B4358</f>
        <v xml:space="preserve"> кв. 204</v>
      </c>
      <c r="D4358" s="5" t="str">
        <f>CONCATENATE(A4358,C4358)</f>
        <v>Валдайский пр., дом 10 к.1 кв. 204</v>
      </c>
      <c r="E4358" s="3">
        <f>HYPERLINK("https://sao.dolgi.msk.ru/account/1404246415/", 1404246415)</f>
        <v>1404246415</v>
      </c>
      <c r="F4358">
        <v>2017.99</v>
      </c>
    </row>
    <row r="4359" spans="1:6" hidden="1" x14ac:dyDescent="0.25">
      <c r="A4359" t="s">
        <v>658</v>
      </c>
      <c r="B4359" t="s">
        <v>209</v>
      </c>
      <c r="E4359" s="3">
        <f>HYPERLINK("https://sao.dolgi.msk.ru/account/1404248875/", 1404248875)</f>
        <v>1404248875</v>
      </c>
      <c r="F4359">
        <v>-2588.36</v>
      </c>
    </row>
    <row r="4360" spans="1:6" x14ac:dyDescent="0.25">
      <c r="A4360" t="s">
        <v>658</v>
      </c>
      <c r="B4360" t="s">
        <v>210</v>
      </c>
      <c r="C4360" s="5" t="str">
        <f>" кв. "&amp;B4360</f>
        <v xml:space="preserve"> кв. 206</v>
      </c>
      <c r="D4360" s="5" t="str">
        <f>CONCATENATE(A4360,C4360)</f>
        <v>Валдайский пр., дом 10 к.1 кв. 206</v>
      </c>
      <c r="E4360" s="3">
        <f>HYPERLINK("https://sao.dolgi.msk.ru/account/1404251361/", 1404251361)</f>
        <v>1404251361</v>
      </c>
      <c r="F4360">
        <v>1774.44</v>
      </c>
    </row>
    <row r="4361" spans="1:6" hidden="1" x14ac:dyDescent="0.25">
      <c r="A4361" t="s">
        <v>658</v>
      </c>
      <c r="B4361" t="s">
        <v>211</v>
      </c>
      <c r="E4361" s="3">
        <f>HYPERLINK("https://sao.dolgi.msk.ru/account/1404250633/", 1404250633)</f>
        <v>1404250633</v>
      </c>
      <c r="F4361">
        <v>-2583.7399999999998</v>
      </c>
    </row>
    <row r="4362" spans="1:6" x14ac:dyDescent="0.25">
      <c r="A4362" t="s">
        <v>658</v>
      </c>
      <c r="B4362" t="s">
        <v>212</v>
      </c>
      <c r="C4362" s="5" t="str">
        <f t="shared" ref="C4362:C4363" si="205">" кв. "&amp;B4362</f>
        <v xml:space="preserve"> кв. 208</v>
      </c>
      <c r="D4362" s="5" t="str">
        <f>CONCATENATE(A4362,C4362)</f>
        <v>Валдайский пр., дом 10 к.1 кв. 208</v>
      </c>
      <c r="E4362" s="3">
        <f>HYPERLINK("https://sao.dolgi.msk.ru/account/1404246458/", 1404246458)</f>
        <v>1404246458</v>
      </c>
      <c r="F4362">
        <v>1230.4100000000001</v>
      </c>
    </row>
    <row r="4363" spans="1:6" x14ac:dyDescent="0.25">
      <c r="A4363" t="s">
        <v>658</v>
      </c>
      <c r="B4363" t="s">
        <v>213</v>
      </c>
      <c r="C4363" s="5" t="str">
        <f t="shared" si="205"/>
        <v xml:space="preserve"> кв. 209</v>
      </c>
      <c r="D4363" s="5" t="str">
        <f>CONCATENATE(A4363,C4363)</f>
        <v>Валдайский пр., дом 10 к.1 кв. 209</v>
      </c>
      <c r="E4363" s="3">
        <f>HYPERLINK("https://sao.dolgi.msk.ru/account/1404249755/", 1404249755)</f>
        <v>1404249755</v>
      </c>
      <c r="F4363">
        <v>2005.34</v>
      </c>
    </row>
    <row r="4364" spans="1:6" hidden="1" x14ac:dyDescent="0.25">
      <c r="A4364" t="s">
        <v>658</v>
      </c>
      <c r="B4364" t="s">
        <v>214</v>
      </c>
      <c r="E4364" s="3">
        <f>HYPERLINK("https://sao.dolgi.msk.ru/account/1404247258/", 1404247258)</f>
        <v>1404247258</v>
      </c>
      <c r="F4364">
        <v>-2588.36</v>
      </c>
    </row>
    <row r="4365" spans="1:6" x14ac:dyDescent="0.25">
      <c r="A4365" t="s">
        <v>658</v>
      </c>
      <c r="B4365" t="s">
        <v>215</v>
      </c>
      <c r="C4365" s="5" t="str">
        <f>" кв. "&amp;B4365</f>
        <v xml:space="preserve"> кв. 211</v>
      </c>
      <c r="D4365" s="5" t="str">
        <f>CONCATENATE(A4365,C4365)</f>
        <v>Валдайский пр., дом 10 к.1 кв. 211</v>
      </c>
      <c r="E4365" s="3">
        <f>HYPERLINK("https://sao.dolgi.msk.ru/account/1404250705/", 1404250705)</f>
        <v>1404250705</v>
      </c>
      <c r="F4365">
        <v>1768.12</v>
      </c>
    </row>
    <row r="4366" spans="1:6" hidden="1" x14ac:dyDescent="0.25">
      <c r="A4366" t="s">
        <v>658</v>
      </c>
      <c r="B4366" t="s">
        <v>216</v>
      </c>
      <c r="E4366" s="3">
        <f>HYPERLINK("https://sao.dolgi.msk.ru/account/1404250692/", 1404250692)</f>
        <v>1404250692</v>
      </c>
      <c r="F4366">
        <v>-2579.11</v>
      </c>
    </row>
    <row r="4367" spans="1:6" x14ac:dyDescent="0.25">
      <c r="A4367" t="s">
        <v>658</v>
      </c>
      <c r="B4367" t="s">
        <v>217</v>
      </c>
      <c r="C4367" s="5" t="str">
        <f>" кв. "&amp;B4367</f>
        <v xml:space="preserve"> кв. 213</v>
      </c>
      <c r="D4367" s="5" t="str">
        <f>CONCATENATE(A4367,C4367)</f>
        <v>Валдайский пр., дом 10 к.1 кв. 213</v>
      </c>
      <c r="E4367" s="3">
        <f>HYPERLINK("https://sao.dolgi.msk.ru/account/1404247928/", 1404247928)</f>
        <v>1404247928</v>
      </c>
      <c r="F4367">
        <v>1230.4100000000001</v>
      </c>
    </row>
    <row r="4368" spans="1:6" hidden="1" x14ac:dyDescent="0.25">
      <c r="A4368" t="s">
        <v>658</v>
      </c>
      <c r="B4368" t="s">
        <v>218</v>
      </c>
      <c r="E4368" s="3">
        <f>HYPERLINK("https://sao.dolgi.msk.ru/account/1404249536/", 1404249536)</f>
        <v>1404249536</v>
      </c>
      <c r="F4368">
        <v>0</v>
      </c>
    </row>
    <row r="4369" spans="1:6" hidden="1" x14ac:dyDescent="0.25">
      <c r="A4369" t="s">
        <v>658</v>
      </c>
      <c r="B4369" t="s">
        <v>219</v>
      </c>
      <c r="E4369" s="3">
        <f>HYPERLINK("https://sao.dolgi.msk.ru/account/1404249886/", 1404249886)</f>
        <v>1404249886</v>
      </c>
      <c r="F4369">
        <v>-3886.07</v>
      </c>
    </row>
    <row r="4370" spans="1:6" hidden="1" x14ac:dyDescent="0.25">
      <c r="A4370" t="s">
        <v>658</v>
      </c>
      <c r="B4370" t="s">
        <v>220</v>
      </c>
      <c r="E4370" s="3">
        <f>HYPERLINK("https://sao.dolgi.msk.ru/account/1404251433/", 1404251433)</f>
        <v>1404251433</v>
      </c>
      <c r="F4370">
        <v>-2602.23</v>
      </c>
    </row>
    <row r="4371" spans="1:6" hidden="1" x14ac:dyDescent="0.25">
      <c r="A4371" t="s">
        <v>658</v>
      </c>
      <c r="B4371" t="s">
        <v>221</v>
      </c>
      <c r="E4371" s="3">
        <f>HYPERLINK("https://sao.dolgi.msk.ru/account/1404247047/", 1404247047)</f>
        <v>1404247047</v>
      </c>
      <c r="F4371">
        <v>-2579.11</v>
      </c>
    </row>
    <row r="4372" spans="1:6" hidden="1" x14ac:dyDescent="0.25">
      <c r="A4372" t="s">
        <v>658</v>
      </c>
      <c r="B4372" t="s">
        <v>222</v>
      </c>
      <c r="E4372" s="3">
        <f>HYPERLINK("https://sao.dolgi.msk.ru/account/1404251281/", 1404251281)</f>
        <v>1404251281</v>
      </c>
      <c r="F4372">
        <v>-1802.61</v>
      </c>
    </row>
    <row r="4373" spans="1:6" hidden="1" x14ac:dyDescent="0.25">
      <c r="A4373" t="s">
        <v>658</v>
      </c>
      <c r="B4373" t="s">
        <v>223</v>
      </c>
      <c r="E4373" s="3">
        <f>HYPERLINK("https://sao.dolgi.msk.ru/account/1404248541/", 1404248541)</f>
        <v>1404248541</v>
      </c>
      <c r="F4373">
        <v>-2939.63</v>
      </c>
    </row>
    <row r="4374" spans="1:6" hidden="1" x14ac:dyDescent="0.25">
      <c r="A4374" t="s">
        <v>658</v>
      </c>
      <c r="B4374" t="s">
        <v>224</v>
      </c>
      <c r="E4374" s="3">
        <f>HYPERLINK("https://sao.dolgi.msk.ru/account/1404249093/", 1404249093)</f>
        <v>1404249093</v>
      </c>
      <c r="F4374">
        <v>-2179.8200000000002</v>
      </c>
    </row>
    <row r="4375" spans="1:6" hidden="1" x14ac:dyDescent="0.25">
      <c r="A4375" t="s">
        <v>658</v>
      </c>
      <c r="B4375" t="s">
        <v>225</v>
      </c>
      <c r="E4375" s="3">
        <f>HYPERLINK("https://sao.dolgi.msk.ru/account/1404251484/", 1404251484)</f>
        <v>1404251484</v>
      </c>
      <c r="F4375">
        <v>-2620.7199999999998</v>
      </c>
    </row>
    <row r="4376" spans="1:6" hidden="1" x14ac:dyDescent="0.25">
      <c r="A4376" t="s">
        <v>658</v>
      </c>
      <c r="B4376" t="s">
        <v>226</v>
      </c>
      <c r="E4376" s="3">
        <f>HYPERLINK("https://sao.dolgi.msk.ru/account/1404247506/", 1404247506)</f>
        <v>1404247506</v>
      </c>
      <c r="F4376">
        <v>-2597.61</v>
      </c>
    </row>
    <row r="4377" spans="1:6" hidden="1" x14ac:dyDescent="0.25">
      <c r="A4377" t="s">
        <v>658</v>
      </c>
      <c r="B4377" t="s">
        <v>227</v>
      </c>
      <c r="E4377" s="3">
        <f>HYPERLINK("https://sao.dolgi.msk.ru/account/1404246597/", 1404246597)</f>
        <v>1404246597</v>
      </c>
      <c r="F4377">
        <v>-1793.36</v>
      </c>
    </row>
    <row r="4378" spans="1:6" hidden="1" x14ac:dyDescent="0.25">
      <c r="A4378" t="s">
        <v>658</v>
      </c>
      <c r="B4378" t="s">
        <v>228</v>
      </c>
      <c r="E4378" s="3">
        <f>HYPERLINK("https://sao.dolgi.msk.ru/account/1404248963/", 1404248963)</f>
        <v>1404248963</v>
      </c>
      <c r="F4378">
        <v>-2958.12</v>
      </c>
    </row>
    <row r="4379" spans="1:6" x14ac:dyDescent="0.25">
      <c r="A4379" t="s">
        <v>658</v>
      </c>
      <c r="B4379" t="s">
        <v>229</v>
      </c>
      <c r="C4379" s="5" t="str">
        <f>" кв. "&amp;B4379</f>
        <v xml:space="preserve"> кв. 225</v>
      </c>
      <c r="D4379" s="5" t="str">
        <f>CONCATENATE(A4379,C4379)</f>
        <v>Валдайский пр., дом 10 к.1 кв. 225</v>
      </c>
      <c r="E4379" s="3">
        <f>HYPERLINK("https://sao.dolgi.msk.ru/account/1404250772/", 1404250772)</f>
        <v>1404250772</v>
      </c>
      <c r="F4379">
        <v>1780.77</v>
      </c>
    </row>
    <row r="4380" spans="1:6" hidden="1" x14ac:dyDescent="0.25">
      <c r="A4380" t="s">
        <v>658</v>
      </c>
      <c r="B4380" t="s">
        <v>230</v>
      </c>
      <c r="E4380" s="3">
        <f>HYPERLINK("https://sao.dolgi.msk.ru/account/1404247143/", 1404247143)</f>
        <v>1404247143</v>
      </c>
      <c r="F4380">
        <v>-2606.85</v>
      </c>
    </row>
    <row r="4381" spans="1:6" hidden="1" x14ac:dyDescent="0.25">
      <c r="A4381" t="s">
        <v>658</v>
      </c>
      <c r="B4381" t="s">
        <v>231</v>
      </c>
      <c r="E4381" s="3">
        <f>HYPERLINK("https://sao.dolgi.msk.ru/account/1404246829/", 1404246829)</f>
        <v>1404246829</v>
      </c>
      <c r="F4381">
        <v>-2597.61</v>
      </c>
    </row>
    <row r="4382" spans="1:6" hidden="1" x14ac:dyDescent="0.25">
      <c r="A4382" t="s">
        <v>658</v>
      </c>
      <c r="B4382" t="s">
        <v>232</v>
      </c>
      <c r="E4382" s="3">
        <f>HYPERLINK("https://sao.dolgi.msk.ru/account/1404246837/", 1404246837)</f>
        <v>1404246837</v>
      </c>
      <c r="F4382">
        <v>-1807.23</v>
      </c>
    </row>
    <row r="4383" spans="1:6" x14ac:dyDescent="0.25">
      <c r="A4383" t="s">
        <v>658</v>
      </c>
      <c r="B4383" t="s">
        <v>233</v>
      </c>
      <c r="C4383" s="5" t="str">
        <f t="shared" ref="C4383:C4387" si="206">" кв. "&amp;B4383</f>
        <v xml:space="preserve"> кв. 229</v>
      </c>
      <c r="D4383" s="5" t="str">
        <f>CONCATENATE(A4383,C4383)</f>
        <v>Валдайский пр., дом 10 к.1 кв. 229</v>
      </c>
      <c r="E4383" s="3">
        <f>HYPERLINK("https://sao.dolgi.msk.ru/account/1404251185/", 1404251185)</f>
        <v>1404251185</v>
      </c>
      <c r="F4383">
        <v>2005.34</v>
      </c>
    </row>
    <row r="4384" spans="1:6" x14ac:dyDescent="0.25">
      <c r="A4384" t="s">
        <v>658</v>
      </c>
      <c r="B4384" t="s">
        <v>234</v>
      </c>
      <c r="C4384" s="5" t="str">
        <f t="shared" si="206"/>
        <v xml:space="preserve"> кв. 230</v>
      </c>
      <c r="D4384" s="5" t="str">
        <f>CONCATENATE(A4384,C4384)</f>
        <v>Валдайский пр., дом 10 к.1 кв. 230</v>
      </c>
      <c r="E4384" s="3">
        <f>HYPERLINK("https://sao.dolgi.msk.ru/account/1404248007/", 1404248007)</f>
        <v>1404248007</v>
      </c>
      <c r="F4384">
        <v>1780.77</v>
      </c>
    </row>
    <row r="4385" spans="1:6" x14ac:dyDescent="0.25">
      <c r="A4385" t="s">
        <v>658</v>
      </c>
      <c r="B4385" t="s">
        <v>235</v>
      </c>
      <c r="C4385" s="5" t="str">
        <f t="shared" si="206"/>
        <v xml:space="preserve"> кв. 231</v>
      </c>
      <c r="D4385" s="5" t="str">
        <f>CONCATENATE(A4385,C4385)</f>
        <v>Валдайский пр., дом 10 к.1 кв. 231</v>
      </c>
      <c r="E4385" s="3">
        <f>HYPERLINK("https://sao.dolgi.msk.ru/account/1404250596/", 1404250596)</f>
        <v>1404250596</v>
      </c>
      <c r="F4385">
        <v>1768.12</v>
      </c>
    </row>
    <row r="4386" spans="1:6" x14ac:dyDescent="0.25">
      <c r="A4386" t="s">
        <v>658</v>
      </c>
      <c r="B4386" t="s">
        <v>239</v>
      </c>
      <c r="C4386" s="5" t="str">
        <f t="shared" si="206"/>
        <v xml:space="preserve"> кв. 232</v>
      </c>
      <c r="D4386" s="5" t="str">
        <f>CONCATENATE(A4386,C4386)</f>
        <v>Валдайский пр., дом 10 к.1 кв. 232</v>
      </c>
      <c r="E4386" s="3">
        <f>HYPERLINK("https://sao.dolgi.msk.ru/account/1404250588/", 1404250588)</f>
        <v>1404250588</v>
      </c>
      <c r="F4386">
        <v>1780.77</v>
      </c>
    </row>
    <row r="4387" spans="1:6" x14ac:dyDescent="0.25">
      <c r="A4387" t="s">
        <v>658</v>
      </c>
      <c r="B4387" t="s">
        <v>240</v>
      </c>
      <c r="C4387" s="5" t="str">
        <f t="shared" si="206"/>
        <v xml:space="preserve"> кв. 233</v>
      </c>
      <c r="D4387" s="5" t="str">
        <f>CONCATENATE(A4387,C4387)</f>
        <v>Валдайский пр., дом 10 к.1 кв. 233</v>
      </c>
      <c r="E4387" s="3">
        <f>HYPERLINK("https://sao.dolgi.msk.ru/account/1404248269/", 1404248269)</f>
        <v>1404248269</v>
      </c>
      <c r="F4387">
        <v>1230.4100000000001</v>
      </c>
    </row>
    <row r="4388" spans="1:6" hidden="1" x14ac:dyDescent="0.25">
      <c r="A4388" t="s">
        <v>658</v>
      </c>
      <c r="B4388" t="s">
        <v>241</v>
      </c>
      <c r="E4388" s="3">
        <f>HYPERLINK("https://sao.dolgi.msk.ru/account/1404251468/", 1404251468)</f>
        <v>1404251468</v>
      </c>
      <c r="F4388">
        <v>-2944.25</v>
      </c>
    </row>
    <row r="4389" spans="1:6" x14ac:dyDescent="0.25">
      <c r="A4389" t="s">
        <v>658</v>
      </c>
      <c r="B4389" t="s">
        <v>242</v>
      </c>
      <c r="C4389" s="5" t="str">
        <f>" кв. "&amp;B4389</f>
        <v xml:space="preserve"> кв. 235</v>
      </c>
      <c r="D4389" s="5" t="str">
        <f>CONCATENATE(A4389,C4389)</f>
        <v>Валдайский пр., дом 10 к.1 кв. 235</v>
      </c>
      <c r="E4389" s="3">
        <f>HYPERLINK("https://sao.dolgi.msk.ru/account/1404249392/", 1404249392)</f>
        <v>1404249392</v>
      </c>
      <c r="F4389">
        <v>1249.3800000000001</v>
      </c>
    </row>
    <row r="4390" spans="1:6" hidden="1" x14ac:dyDescent="0.25">
      <c r="A4390" t="s">
        <v>658</v>
      </c>
      <c r="B4390" t="s">
        <v>243</v>
      </c>
      <c r="E4390" s="3">
        <f>HYPERLINK("https://sao.dolgi.msk.ru/account/1404247581/", 1404247581)</f>
        <v>1404247581</v>
      </c>
      <c r="F4390">
        <v>-817.08</v>
      </c>
    </row>
    <row r="4391" spans="1:6" hidden="1" x14ac:dyDescent="0.25">
      <c r="A4391" t="s">
        <v>658</v>
      </c>
      <c r="B4391" t="s">
        <v>244</v>
      </c>
      <c r="E4391" s="3">
        <f>HYPERLINK("https://sao.dolgi.msk.ru/account/1404247469/", 1404247469)</f>
        <v>1404247469</v>
      </c>
      <c r="F4391">
        <v>-1301.1300000000001</v>
      </c>
    </row>
    <row r="4392" spans="1:6" hidden="1" x14ac:dyDescent="0.25">
      <c r="A4392" t="s">
        <v>658</v>
      </c>
      <c r="B4392" t="s">
        <v>245</v>
      </c>
      <c r="E4392" s="3">
        <f>HYPERLINK("https://sao.dolgi.msk.ru/account/1404250799/", 1404250799)</f>
        <v>1404250799</v>
      </c>
      <c r="F4392">
        <v>-1821.1</v>
      </c>
    </row>
    <row r="4393" spans="1:6" hidden="1" x14ac:dyDescent="0.25">
      <c r="A4393" t="s">
        <v>658</v>
      </c>
      <c r="B4393" t="s">
        <v>246</v>
      </c>
      <c r="E4393" s="3">
        <f>HYPERLINK("https://sao.dolgi.msk.ru/account/1404250449/", 1404250449)</f>
        <v>1404250449</v>
      </c>
      <c r="F4393">
        <v>-2930.38</v>
      </c>
    </row>
    <row r="4394" spans="1:6" hidden="1" x14ac:dyDescent="0.25">
      <c r="A4394" t="s">
        <v>658</v>
      </c>
      <c r="B4394" t="s">
        <v>247</v>
      </c>
      <c r="E4394" s="3">
        <f>HYPERLINK("https://sao.dolgi.msk.ru/account/1404246028/", 1404246028)</f>
        <v>1404246028</v>
      </c>
      <c r="F4394">
        <v>-2616.1</v>
      </c>
    </row>
    <row r="4395" spans="1:6" hidden="1" x14ac:dyDescent="0.25">
      <c r="A4395" t="s">
        <v>658</v>
      </c>
      <c r="B4395" t="s">
        <v>248</v>
      </c>
      <c r="E4395" s="3">
        <f>HYPERLINK("https://sao.dolgi.msk.ru/account/1404250027/", 1404250027)</f>
        <v>1404250027</v>
      </c>
      <c r="F4395">
        <v>0</v>
      </c>
    </row>
    <row r="4396" spans="1:6" hidden="1" x14ac:dyDescent="0.25">
      <c r="A4396" t="s">
        <v>658</v>
      </c>
      <c r="B4396" t="s">
        <v>249</v>
      </c>
      <c r="E4396" s="3">
        <f>HYPERLINK("https://sao.dolgi.msk.ru/account/1404250035/", 1404250035)</f>
        <v>1404250035</v>
      </c>
      <c r="F4396">
        <v>-4719.32</v>
      </c>
    </row>
    <row r="4397" spans="1:6" hidden="1" x14ac:dyDescent="0.25">
      <c r="A4397" t="s">
        <v>658</v>
      </c>
      <c r="B4397" t="s">
        <v>250</v>
      </c>
      <c r="E4397" s="3">
        <f>HYPERLINK("https://sao.dolgi.msk.ru/account/1404249552/", 1404249552)</f>
        <v>1404249552</v>
      </c>
      <c r="F4397">
        <v>-1779.5</v>
      </c>
    </row>
    <row r="4398" spans="1:6" hidden="1" x14ac:dyDescent="0.25">
      <c r="A4398" t="s">
        <v>658</v>
      </c>
      <c r="B4398" t="s">
        <v>251</v>
      </c>
      <c r="E4398" s="3">
        <f>HYPERLINK("https://sao.dolgi.msk.ru/account/1404250641/", 1404250641)</f>
        <v>1404250641</v>
      </c>
      <c r="F4398">
        <v>-2551.38</v>
      </c>
    </row>
    <row r="4399" spans="1:6" hidden="1" x14ac:dyDescent="0.25">
      <c r="A4399" t="s">
        <v>658</v>
      </c>
      <c r="B4399" t="s">
        <v>252</v>
      </c>
      <c r="E4399" s="3">
        <f>HYPERLINK("https://sao.dolgi.msk.ru/account/1404250481/", 1404250481)</f>
        <v>1404250481</v>
      </c>
      <c r="F4399">
        <v>-2546.75</v>
      </c>
    </row>
    <row r="4400" spans="1:6" x14ac:dyDescent="0.25">
      <c r="A4400" t="s">
        <v>658</v>
      </c>
      <c r="B4400" t="s">
        <v>253</v>
      </c>
      <c r="C4400" s="5" t="str">
        <f t="shared" ref="C4400:C4401" si="207">" кв. "&amp;B4400</f>
        <v xml:space="preserve"> кв. 246</v>
      </c>
      <c r="D4400" s="5" t="str">
        <f>CONCATENATE(A4400,C4400)</f>
        <v>Валдайский пр., дом 10 к.1 кв. 246</v>
      </c>
      <c r="E4400" s="3">
        <f>HYPERLINK("https://sao.dolgi.msk.ru/account/1404251425/", 1404251425)</f>
        <v>1404251425</v>
      </c>
      <c r="F4400">
        <v>1995.85</v>
      </c>
    </row>
    <row r="4401" spans="1:6" x14ac:dyDescent="0.25">
      <c r="A4401" t="s">
        <v>658</v>
      </c>
      <c r="B4401" t="s">
        <v>254</v>
      </c>
      <c r="C4401" s="5" t="str">
        <f t="shared" si="207"/>
        <v xml:space="preserve"> кв. 247</v>
      </c>
      <c r="D4401" s="5" t="str">
        <f>CONCATENATE(A4401,C4401)</f>
        <v>Валдайский пр., дом 10 к.1 кв. 247</v>
      </c>
      <c r="E4401" s="3">
        <f>HYPERLINK("https://sao.dolgi.msk.ru/account/1404248998/", 1404248998)</f>
        <v>1404248998</v>
      </c>
      <c r="F4401">
        <v>1745.98</v>
      </c>
    </row>
    <row r="4402" spans="1:6" hidden="1" x14ac:dyDescent="0.25">
      <c r="A4402" t="s">
        <v>658</v>
      </c>
      <c r="B4402" t="s">
        <v>255</v>
      </c>
      <c r="E4402" s="3">
        <f>HYPERLINK("https://sao.dolgi.msk.ru/account/1404250019/", 1404250019)</f>
        <v>1404250019</v>
      </c>
      <c r="F4402">
        <v>-1021.48</v>
      </c>
    </row>
    <row r="4403" spans="1:6" x14ac:dyDescent="0.25">
      <c r="A4403" t="s">
        <v>658</v>
      </c>
      <c r="B4403" t="s">
        <v>256</v>
      </c>
      <c r="C4403" s="5" t="str">
        <f>" кв. "&amp;B4403</f>
        <v xml:space="preserve"> кв. 249</v>
      </c>
      <c r="D4403" s="5" t="str">
        <f>CONCATENATE(A4403,C4403)</f>
        <v>Валдайский пр., дом 10 к.1 кв. 249</v>
      </c>
      <c r="E4403" s="3">
        <f>HYPERLINK("https://sao.dolgi.msk.ru/account/1404247629/", 1404247629)</f>
        <v>1404247629</v>
      </c>
      <c r="F4403">
        <v>1752.3</v>
      </c>
    </row>
    <row r="4404" spans="1:6" hidden="1" x14ac:dyDescent="0.25">
      <c r="A4404" t="s">
        <v>658</v>
      </c>
      <c r="B4404" t="s">
        <v>257</v>
      </c>
      <c r="E4404" s="3">
        <f>HYPERLINK("https://sao.dolgi.msk.ru/account/1404246511/", 1404246511)</f>
        <v>1404246511</v>
      </c>
      <c r="F4404">
        <v>-2556</v>
      </c>
    </row>
    <row r="4405" spans="1:6" hidden="1" x14ac:dyDescent="0.25">
      <c r="A4405" t="s">
        <v>658</v>
      </c>
      <c r="B4405" t="s">
        <v>258</v>
      </c>
      <c r="E4405" s="3">
        <f>HYPERLINK("https://sao.dolgi.msk.ru/account/1404246802/", 1404246802)</f>
        <v>1404246802</v>
      </c>
      <c r="F4405">
        <v>-1467.51</v>
      </c>
    </row>
    <row r="4406" spans="1:6" hidden="1" x14ac:dyDescent="0.25">
      <c r="A4406" t="s">
        <v>658</v>
      </c>
      <c r="B4406" t="s">
        <v>258</v>
      </c>
      <c r="E4406" s="3">
        <f>HYPERLINK("https://sao.dolgi.msk.ru/account/1404250166/", 1404250166)</f>
        <v>1404250166</v>
      </c>
      <c r="F4406">
        <v>-1467.51</v>
      </c>
    </row>
    <row r="4407" spans="1:6" x14ac:dyDescent="0.25">
      <c r="A4407" t="s">
        <v>658</v>
      </c>
      <c r="B4407" t="s">
        <v>259</v>
      </c>
      <c r="C4407" s="5" t="str">
        <f>" кв. "&amp;B4407</f>
        <v xml:space="preserve"> кв. 252</v>
      </c>
      <c r="D4407" s="5" t="str">
        <f>CONCATENATE(A4407,C4407)</f>
        <v>Валдайский пр., дом 10 к.1 кв. 252</v>
      </c>
      <c r="E4407" s="3">
        <f>HYPERLINK("https://sao.dolgi.msk.ru/account/1404248525/", 1404248525)</f>
        <v>1404248525</v>
      </c>
      <c r="F4407">
        <v>1220.9100000000001</v>
      </c>
    </row>
    <row r="4408" spans="1:6" hidden="1" x14ac:dyDescent="0.25">
      <c r="A4408" t="s">
        <v>658</v>
      </c>
      <c r="B4408" t="s">
        <v>260</v>
      </c>
      <c r="E4408" s="3">
        <f>HYPERLINK("https://sao.dolgi.msk.ru/account/1404249165/", 1404249165)</f>
        <v>1404249165</v>
      </c>
      <c r="F4408">
        <v>-1788.74</v>
      </c>
    </row>
    <row r="4409" spans="1:6" hidden="1" x14ac:dyDescent="0.25">
      <c r="A4409" t="s">
        <v>658</v>
      </c>
      <c r="B4409" t="s">
        <v>261</v>
      </c>
      <c r="E4409" s="3">
        <f>HYPERLINK("https://sao.dolgi.msk.ru/account/1404249042/", 1404249042)</f>
        <v>1404249042</v>
      </c>
      <c r="F4409">
        <v>-2579.11</v>
      </c>
    </row>
    <row r="4410" spans="1:6" x14ac:dyDescent="0.25">
      <c r="A4410" t="s">
        <v>658</v>
      </c>
      <c r="B4410" t="s">
        <v>262</v>
      </c>
      <c r="C4410" s="5" t="str">
        <f>" кв. "&amp;B4410</f>
        <v xml:space="preserve"> кв. 255</v>
      </c>
      <c r="D4410" s="5" t="str">
        <f>CONCATENATE(A4410,C4410)</f>
        <v>Валдайский пр., дом 10 к.1 кв. 255</v>
      </c>
      <c r="E4410" s="3">
        <f>HYPERLINK("https://sao.dolgi.msk.ru/account/1404250393/", 1404250393)</f>
        <v>1404250393</v>
      </c>
      <c r="F4410">
        <v>1758.63</v>
      </c>
    </row>
    <row r="4411" spans="1:6" hidden="1" x14ac:dyDescent="0.25">
      <c r="A4411" t="s">
        <v>658</v>
      </c>
      <c r="B4411" t="s">
        <v>263</v>
      </c>
      <c r="E4411" s="3">
        <f>HYPERLINK("https://sao.dolgi.msk.ru/account/1404248277/", 1404248277)</f>
        <v>1404248277</v>
      </c>
      <c r="F4411">
        <v>-2962.74</v>
      </c>
    </row>
    <row r="4412" spans="1:6" x14ac:dyDescent="0.25">
      <c r="A4412" t="s">
        <v>658</v>
      </c>
      <c r="B4412" t="s">
        <v>264</v>
      </c>
      <c r="C4412" s="5" t="str">
        <f>" кв. "&amp;B4412</f>
        <v xml:space="preserve"> кв. 257</v>
      </c>
      <c r="D4412" s="5" t="str">
        <f>CONCATENATE(A4412,C4412)</f>
        <v>Валдайский пр., дом 10 к.1 кв. 257</v>
      </c>
      <c r="E4412" s="3">
        <f>HYPERLINK("https://sao.dolgi.msk.ru/account/1404250211/", 1404250211)</f>
        <v>1404250211</v>
      </c>
      <c r="F4412">
        <v>1758.63</v>
      </c>
    </row>
    <row r="4413" spans="1:6" hidden="1" x14ac:dyDescent="0.25">
      <c r="A4413" t="s">
        <v>658</v>
      </c>
      <c r="B4413" t="s">
        <v>265</v>
      </c>
      <c r="E4413" s="3">
        <f>HYPERLINK("https://sao.dolgi.msk.ru/account/1404249464/", 1404249464)</f>
        <v>1404249464</v>
      </c>
      <c r="F4413">
        <v>-1784.12</v>
      </c>
    </row>
    <row r="4414" spans="1:6" x14ac:dyDescent="0.25">
      <c r="A4414" t="s">
        <v>658</v>
      </c>
      <c r="B4414" t="s">
        <v>266</v>
      </c>
      <c r="C4414" s="5" t="str">
        <f t="shared" ref="C4414:C4416" si="208">" кв. "&amp;B4414</f>
        <v xml:space="preserve"> кв. 259</v>
      </c>
      <c r="D4414" s="5" t="str">
        <f>CONCATENATE(A4414,C4414)</f>
        <v>Валдайский пр., дом 10 к.1 кв. 259</v>
      </c>
      <c r="E4414" s="3">
        <f>HYPERLINK("https://sao.dolgi.msk.ru/account/1404250473/", 1404250473)</f>
        <v>1404250473</v>
      </c>
      <c r="F4414">
        <v>1764.95</v>
      </c>
    </row>
    <row r="4415" spans="1:6" x14ac:dyDescent="0.25">
      <c r="A4415" t="s">
        <v>658</v>
      </c>
      <c r="B4415" t="s">
        <v>267</v>
      </c>
      <c r="C4415" s="5" t="str">
        <f t="shared" si="208"/>
        <v xml:space="preserve"> кв. 260</v>
      </c>
      <c r="D4415" s="5" t="str">
        <f>CONCATENATE(A4415,C4415)</f>
        <v>Валдайский пр., дом 10 к.1 кв. 260</v>
      </c>
      <c r="E4415" s="3">
        <f>HYPERLINK("https://sao.dolgi.msk.ru/account/1404246423/", 1404246423)</f>
        <v>1404246423</v>
      </c>
      <c r="F4415">
        <v>1764.95</v>
      </c>
    </row>
    <row r="4416" spans="1:6" x14ac:dyDescent="0.25">
      <c r="A4416" t="s">
        <v>658</v>
      </c>
      <c r="B4416" t="s">
        <v>268</v>
      </c>
      <c r="C4416" s="5" t="str">
        <f t="shared" si="208"/>
        <v xml:space="preserve"> кв. 261</v>
      </c>
      <c r="D4416" s="5" t="str">
        <f>CONCATENATE(A4416,C4416)</f>
        <v>Валдайский пр., дом 10 к.1 кв. 261</v>
      </c>
      <c r="E4416" s="3">
        <f>HYPERLINK("https://sao.dolgi.msk.ru/account/1404245981/", 1404245981)</f>
        <v>1404245981</v>
      </c>
      <c r="F4416">
        <v>2011.67</v>
      </c>
    </row>
    <row r="4417" spans="1:6" hidden="1" x14ac:dyDescent="0.25">
      <c r="A4417" t="s">
        <v>658</v>
      </c>
      <c r="B4417" t="s">
        <v>269</v>
      </c>
      <c r="E4417" s="3">
        <f>HYPERLINK("https://sao.dolgi.msk.ru/account/1404247813/", 1404247813)</f>
        <v>1404247813</v>
      </c>
      <c r="F4417">
        <v>-2574.4899999999998</v>
      </c>
    </row>
    <row r="4418" spans="1:6" x14ac:dyDescent="0.25">
      <c r="A4418" t="s">
        <v>658</v>
      </c>
      <c r="B4418" t="s">
        <v>270</v>
      </c>
      <c r="C4418" s="5" t="str">
        <f>" кв. "&amp;B4418</f>
        <v xml:space="preserve"> кв. 263</v>
      </c>
      <c r="D4418" s="5" t="str">
        <f>CONCATENATE(A4418,C4418)</f>
        <v>Валдайский пр., дом 10 к.1 кв. 263</v>
      </c>
      <c r="E4418" s="3">
        <f>HYPERLINK("https://sao.dolgi.msk.ru/account/1404247805/", 1404247805)</f>
        <v>1404247805</v>
      </c>
      <c r="F4418">
        <v>613.62</v>
      </c>
    </row>
    <row r="4419" spans="1:6" hidden="1" x14ac:dyDescent="0.25">
      <c r="A4419" t="s">
        <v>658</v>
      </c>
      <c r="B4419" t="s">
        <v>271</v>
      </c>
      <c r="E4419" s="3">
        <f>HYPERLINK("https://sao.dolgi.msk.ru/account/1404247346/", 1404247346)</f>
        <v>1404247346</v>
      </c>
      <c r="F4419">
        <v>-1807.23</v>
      </c>
    </row>
    <row r="4420" spans="1:6" x14ac:dyDescent="0.25">
      <c r="A4420" t="s">
        <v>658</v>
      </c>
      <c r="B4420" t="s">
        <v>272</v>
      </c>
      <c r="C4420" s="5" t="str">
        <f>" кв. "&amp;B4420</f>
        <v xml:space="preserve"> кв. 265</v>
      </c>
      <c r="D4420" s="5" t="str">
        <f>CONCATENATE(A4420,C4420)</f>
        <v>Валдайский пр., дом 10 к.1 кв. 265</v>
      </c>
      <c r="E4420" s="3">
        <f>HYPERLINK("https://sao.dolgi.msk.ru/account/1404248517/", 1404248517)</f>
        <v>1404248517</v>
      </c>
      <c r="F4420">
        <v>1761.79</v>
      </c>
    </row>
    <row r="4421" spans="1:6" hidden="1" x14ac:dyDescent="0.25">
      <c r="A4421" t="s">
        <v>658</v>
      </c>
      <c r="B4421" t="s">
        <v>273</v>
      </c>
      <c r="E4421" s="3">
        <f>HYPERLINK("https://sao.dolgi.msk.ru/account/1404249763/", 1404249763)</f>
        <v>1404249763</v>
      </c>
      <c r="F4421">
        <v>-2930.38</v>
      </c>
    </row>
    <row r="4422" spans="1:6" hidden="1" x14ac:dyDescent="0.25">
      <c r="A4422" t="s">
        <v>658</v>
      </c>
      <c r="B4422" t="s">
        <v>274</v>
      </c>
      <c r="E4422" s="3">
        <f>HYPERLINK("https://sao.dolgi.msk.ru/account/1404247901/", 1404247901)</f>
        <v>1404247901</v>
      </c>
      <c r="F4422">
        <v>-0.32</v>
      </c>
    </row>
    <row r="4423" spans="1:6" hidden="1" x14ac:dyDescent="0.25">
      <c r="A4423" t="s">
        <v>658</v>
      </c>
      <c r="B4423" t="s">
        <v>275</v>
      </c>
      <c r="E4423" s="3">
        <f>HYPERLINK("https://sao.dolgi.msk.ru/account/1404249288/", 1404249288)</f>
        <v>1404249288</v>
      </c>
      <c r="F4423">
        <v>0</v>
      </c>
    </row>
    <row r="4424" spans="1:6" hidden="1" x14ac:dyDescent="0.25">
      <c r="A4424" t="s">
        <v>658</v>
      </c>
      <c r="B4424" t="s">
        <v>276</v>
      </c>
      <c r="E4424" s="3">
        <f>HYPERLINK("https://sao.dolgi.msk.ru/account/1404251054/", 1404251054)</f>
        <v>1404251054</v>
      </c>
      <c r="F4424">
        <v>-1664.9</v>
      </c>
    </row>
    <row r="4425" spans="1:6" hidden="1" x14ac:dyDescent="0.25">
      <c r="A4425" t="s">
        <v>658</v>
      </c>
      <c r="B4425" t="s">
        <v>277</v>
      </c>
      <c r="E4425" s="3">
        <f>HYPERLINK("https://sao.dolgi.msk.ru/account/1404246757/", 1404246757)</f>
        <v>1404246757</v>
      </c>
      <c r="F4425">
        <v>-2588.36</v>
      </c>
    </row>
    <row r="4426" spans="1:6" hidden="1" x14ac:dyDescent="0.25">
      <c r="A4426" t="s">
        <v>658</v>
      </c>
      <c r="B4426" t="s">
        <v>278</v>
      </c>
      <c r="E4426" s="3">
        <f>HYPERLINK("https://sao.dolgi.msk.ru/account/1404248218/", 1404248218)</f>
        <v>1404248218</v>
      </c>
      <c r="F4426">
        <v>-2944.25</v>
      </c>
    </row>
    <row r="4427" spans="1:6" x14ac:dyDescent="0.25">
      <c r="A4427" t="s">
        <v>658</v>
      </c>
      <c r="B4427" t="s">
        <v>279</v>
      </c>
      <c r="C4427" s="5" t="str">
        <f>" кв. "&amp;B4427</f>
        <v xml:space="preserve"> кв. 272</v>
      </c>
      <c r="D4427" s="5" t="str">
        <f>CONCATENATE(A4427,C4427)</f>
        <v>Валдайский пр., дом 10 к.1 кв. 272</v>
      </c>
      <c r="E4427" s="3">
        <f>HYPERLINK("https://sao.dolgi.msk.ru/account/1404246319/", 1404246319)</f>
        <v>1404246319</v>
      </c>
      <c r="F4427">
        <v>1749.14</v>
      </c>
    </row>
    <row r="4428" spans="1:6" hidden="1" x14ac:dyDescent="0.25">
      <c r="A4428" t="s">
        <v>658</v>
      </c>
      <c r="B4428" t="s">
        <v>280</v>
      </c>
      <c r="E4428" s="3">
        <f>HYPERLINK("https://sao.dolgi.msk.ru/account/1404247354/", 1404247354)</f>
        <v>1404247354</v>
      </c>
      <c r="F4428">
        <v>-1557.25</v>
      </c>
    </row>
    <row r="4429" spans="1:6" hidden="1" x14ac:dyDescent="0.25">
      <c r="A4429" t="s">
        <v>658</v>
      </c>
      <c r="B4429" t="s">
        <v>281</v>
      </c>
      <c r="E4429" s="3">
        <f>HYPERLINK("https://sao.dolgi.msk.ru/account/1404246036/", 1404246036)</f>
        <v>1404246036</v>
      </c>
      <c r="F4429">
        <v>-2574.4899999999998</v>
      </c>
    </row>
    <row r="4430" spans="1:6" hidden="1" x14ac:dyDescent="0.25">
      <c r="A4430" t="s">
        <v>658</v>
      </c>
      <c r="B4430" t="s">
        <v>282</v>
      </c>
      <c r="E4430" s="3">
        <f>HYPERLINK("https://sao.dolgi.msk.ru/account/1404247282/", 1404247282)</f>
        <v>1404247282</v>
      </c>
      <c r="F4430">
        <v>-2172.0300000000002</v>
      </c>
    </row>
    <row r="4431" spans="1:6" hidden="1" x14ac:dyDescent="0.25">
      <c r="A4431" t="s">
        <v>658</v>
      </c>
      <c r="B4431" t="s">
        <v>283</v>
      </c>
      <c r="E4431" s="3">
        <f>HYPERLINK("https://sao.dolgi.msk.ru/account/1404247135/", 1404247135)</f>
        <v>1404247135</v>
      </c>
      <c r="F4431">
        <v>-2948.87</v>
      </c>
    </row>
    <row r="4432" spans="1:6" x14ac:dyDescent="0.25">
      <c r="A4432" t="s">
        <v>658</v>
      </c>
      <c r="B4432" t="s">
        <v>284</v>
      </c>
      <c r="C4432" s="5" t="str">
        <f t="shared" ref="C4432:C4433" si="209">" кв. "&amp;B4432</f>
        <v xml:space="preserve"> кв. 277</v>
      </c>
      <c r="D4432" s="5" t="str">
        <f>CONCATENATE(A4432,C4432)</f>
        <v>Валдайский пр., дом 10 к.1 кв. 277</v>
      </c>
      <c r="E4432" s="3">
        <f>HYPERLINK("https://sao.dolgi.msk.ru/account/1404246482/", 1404246482)</f>
        <v>1404246482</v>
      </c>
      <c r="F4432">
        <v>1758.63</v>
      </c>
    </row>
    <row r="4433" spans="1:6" x14ac:dyDescent="0.25">
      <c r="A4433" t="s">
        <v>658</v>
      </c>
      <c r="B4433" t="s">
        <v>285</v>
      </c>
      <c r="C4433" s="5" t="str">
        <f t="shared" si="209"/>
        <v xml:space="preserve"> кв. 278</v>
      </c>
      <c r="D4433" s="5" t="str">
        <f>CONCATENATE(A4433,C4433)</f>
        <v>Валдайский пр., дом 10 к.1 кв. 278</v>
      </c>
      <c r="E4433" s="3">
        <f>HYPERLINK("https://sao.dolgi.msk.ru/account/1404251273/", 1404251273)</f>
        <v>1404251273</v>
      </c>
      <c r="F4433">
        <v>1227.24</v>
      </c>
    </row>
    <row r="4434" spans="1:6" hidden="1" x14ac:dyDescent="0.25">
      <c r="A4434" t="s">
        <v>658</v>
      </c>
      <c r="B4434" t="s">
        <v>286</v>
      </c>
      <c r="E4434" s="3">
        <f>HYPERLINK("https://sao.dolgi.msk.ru/account/1404249405/", 1404249405)</f>
        <v>1404249405</v>
      </c>
      <c r="F4434">
        <v>0</v>
      </c>
    </row>
    <row r="4435" spans="1:6" hidden="1" x14ac:dyDescent="0.25">
      <c r="A4435" t="s">
        <v>658</v>
      </c>
      <c r="B4435" t="s">
        <v>287</v>
      </c>
      <c r="E4435" s="3">
        <f>HYPERLINK("https://sao.dolgi.msk.ru/account/1404249894/", 1404249894)</f>
        <v>1404249894</v>
      </c>
      <c r="F4435">
        <v>0</v>
      </c>
    </row>
    <row r="4436" spans="1:6" x14ac:dyDescent="0.25">
      <c r="A4436" t="s">
        <v>658</v>
      </c>
      <c r="B4436" t="s">
        <v>288</v>
      </c>
      <c r="C4436" s="5" t="str">
        <f>" кв. "&amp;B4436</f>
        <v xml:space="preserve"> кв. 281</v>
      </c>
      <c r="D4436" s="5" t="str">
        <f>CONCATENATE(A4436,C4436)</f>
        <v>Валдайский пр., дом 10 к.1 кв. 281</v>
      </c>
      <c r="E4436" s="3">
        <f>HYPERLINK("https://sao.dolgi.msk.ru/account/1404246984/", 1404246984)</f>
        <v>1404246984</v>
      </c>
      <c r="F4436">
        <v>2008.51</v>
      </c>
    </row>
    <row r="4437" spans="1:6" hidden="1" x14ac:dyDescent="0.25">
      <c r="A4437" t="s">
        <v>658</v>
      </c>
      <c r="B4437" t="s">
        <v>289</v>
      </c>
      <c r="E4437" s="3">
        <f>HYPERLINK("https://sao.dolgi.msk.ru/account/1404247426/", 1404247426)</f>
        <v>1404247426</v>
      </c>
      <c r="F4437">
        <v>-2574.4899999999998</v>
      </c>
    </row>
    <row r="4438" spans="1:6" hidden="1" x14ac:dyDescent="0.25">
      <c r="A4438" t="s">
        <v>658</v>
      </c>
      <c r="B4438" t="s">
        <v>290</v>
      </c>
      <c r="E4438" s="3">
        <f>HYPERLINK("https://sao.dolgi.msk.ru/account/1404247557/", 1404247557)</f>
        <v>1404247557</v>
      </c>
      <c r="F4438">
        <v>-1797.99</v>
      </c>
    </row>
    <row r="4439" spans="1:6" x14ac:dyDescent="0.25">
      <c r="A4439" t="s">
        <v>658</v>
      </c>
      <c r="B4439" t="s">
        <v>291</v>
      </c>
      <c r="C4439" s="5" t="str">
        <f t="shared" ref="C4439:C4441" si="210">" кв. "&amp;B4439</f>
        <v xml:space="preserve"> кв. 284</v>
      </c>
      <c r="D4439" s="5" t="str">
        <f>CONCATENATE(A4439,C4439)</f>
        <v>Валдайский пр., дом 10 к.1 кв. 284</v>
      </c>
      <c r="E4439" s="3">
        <f>HYPERLINK("https://sao.dolgi.msk.ru/account/1404250457/", 1404250457)</f>
        <v>1404250457</v>
      </c>
      <c r="F4439">
        <v>1761.79</v>
      </c>
    </row>
    <row r="4440" spans="1:6" x14ac:dyDescent="0.25">
      <c r="A4440" t="s">
        <v>658</v>
      </c>
      <c r="B4440" t="s">
        <v>292</v>
      </c>
      <c r="C4440" s="5" t="str">
        <f t="shared" si="210"/>
        <v xml:space="preserve"> кв. 285</v>
      </c>
      <c r="D4440" s="5" t="str">
        <f>CONCATENATE(A4440,C4440)</f>
        <v>Валдайский пр., дом 10 к.1 кв. 285</v>
      </c>
      <c r="E4440" s="3">
        <f>HYPERLINK("https://sao.dolgi.msk.ru/account/1404250334/", 1404250334)</f>
        <v>1404250334</v>
      </c>
      <c r="F4440">
        <v>1774.44</v>
      </c>
    </row>
    <row r="4441" spans="1:6" x14ac:dyDescent="0.25">
      <c r="A4441" t="s">
        <v>658</v>
      </c>
      <c r="B4441" t="s">
        <v>293</v>
      </c>
      <c r="C4441" s="5" t="str">
        <f t="shared" si="210"/>
        <v xml:space="preserve"> кв. 286</v>
      </c>
      <c r="D4441" s="5" t="str">
        <f>CONCATENATE(A4441,C4441)</f>
        <v>Валдайский пр., дом 10 к.1 кв. 286</v>
      </c>
      <c r="E4441" s="3">
        <f>HYPERLINK("https://sao.dolgi.msk.ru/account/1404246386/", 1404246386)</f>
        <v>1404246386</v>
      </c>
      <c r="F4441">
        <v>2014.83</v>
      </c>
    </row>
    <row r="4442" spans="1:6" hidden="1" x14ac:dyDescent="0.25">
      <c r="A4442" t="s">
        <v>658</v>
      </c>
      <c r="B4442" t="s">
        <v>294</v>
      </c>
      <c r="E4442" s="3">
        <f>HYPERLINK("https://sao.dolgi.msk.ru/account/1404250238/", 1404250238)</f>
        <v>1404250238</v>
      </c>
      <c r="F4442">
        <v>0</v>
      </c>
    </row>
    <row r="4443" spans="1:6" hidden="1" x14ac:dyDescent="0.25">
      <c r="A4443" t="s">
        <v>658</v>
      </c>
      <c r="B4443" t="s">
        <v>295</v>
      </c>
      <c r="E4443" s="3">
        <f>HYPERLINK("https://sao.dolgi.msk.ru/account/1404251302/", 1404251302)</f>
        <v>1404251302</v>
      </c>
      <c r="F4443">
        <v>-1788.74</v>
      </c>
    </row>
    <row r="4444" spans="1:6" hidden="1" x14ac:dyDescent="0.25">
      <c r="A4444" t="s">
        <v>658</v>
      </c>
      <c r="B4444" t="s">
        <v>296</v>
      </c>
      <c r="E4444" s="3">
        <f>HYPERLINK("https://sao.dolgi.msk.ru/account/1404251564/", 1404251564)</f>
        <v>1404251564</v>
      </c>
      <c r="F4444">
        <v>-2574.4899999999998</v>
      </c>
    </row>
    <row r="4445" spans="1:6" x14ac:dyDescent="0.25">
      <c r="A4445" t="s">
        <v>658</v>
      </c>
      <c r="B4445" t="s">
        <v>297</v>
      </c>
      <c r="C4445" s="5" t="str">
        <f>" кв. "&amp;B4445</f>
        <v xml:space="preserve"> кв. 290</v>
      </c>
      <c r="D4445" s="5" t="str">
        <f>CONCATENATE(A4445,C4445)</f>
        <v>Валдайский пр., дом 10 к.1 кв. 290</v>
      </c>
      <c r="E4445" s="3">
        <f>HYPERLINK("https://sao.dolgi.msk.ru/account/1404250107/", 1404250107)</f>
        <v>1404250107</v>
      </c>
      <c r="F4445">
        <v>1771.28</v>
      </c>
    </row>
    <row r="4446" spans="1:6" hidden="1" x14ac:dyDescent="0.25">
      <c r="A4446" t="s">
        <v>658</v>
      </c>
      <c r="B4446" t="s">
        <v>298</v>
      </c>
      <c r="E4446" s="3">
        <f>HYPERLINK("https://sao.dolgi.msk.ru/account/1404247864/", 1404247864)</f>
        <v>1404247864</v>
      </c>
      <c r="F4446">
        <v>-2453.5500000000002</v>
      </c>
    </row>
    <row r="4447" spans="1:6" hidden="1" x14ac:dyDescent="0.25">
      <c r="A4447" t="s">
        <v>658</v>
      </c>
      <c r="B4447" t="s">
        <v>299</v>
      </c>
      <c r="E4447" s="3">
        <f>HYPERLINK("https://sao.dolgi.msk.ru/account/1404248111/", 1404248111)</f>
        <v>1404248111</v>
      </c>
      <c r="F4447">
        <v>0</v>
      </c>
    </row>
    <row r="4448" spans="1:6" x14ac:dyDescent="0.25">
      <c r="A4448" t="s">
        <v>658</v>
      </c>
      <c r="B4448" t="s">
        <v>300</v>
      </c>
      <c r="C4448" s="5" t="str">
        <f t="shared" ref="C4448:C4449" si="211">" кв. "&amp;B4448</f>
        <v xml:space="preserve"> кв. 293</v>
      </c>
      <c r="D4448" s="5" t="str">
        <f>CONCATENATE(A4448,C4448)</f>
        <v>Валдайский пр., дом 10 к.1 кв. 293</v>
      </c>
      <c r="E4448" s="3">
        <f>HYPERLINK("https://sao.dolgi.msk.ru/account/1404247792/", 1404247792)</f>
        <v>1404247792</v>
      </c>
      <c r="F4448">
        <v>1224.08</v>
      </c>
    </row>
    <row r="4449" spans="1:6" x14ac:dyDescent="0.25">
      <c r="A4449" t="s">
        <v>658</v>
      </c>
      <c r="B4449" t="s">
        <v>301</v>
      </c>
      <c r="C4449" s="5" t="str">
        <f t="shared" si="211"/>
        <v xml:space="preserve"> кв. 294</v>
      </c>
      <c r="D4449" s="5" t="str">
        <f>CONCATENATE(A4449,C4449)</f>
        <v>Валдайский пр., дом 10 к.1 кв. 294</v>
      </c>
      <c r="E4449" s="3">
        <f>HYPERLINK("https://sao.dolgi.msk.ru/account/1404250924/", 1404250924)</f>
        <v>1404250924</v>
      </c>
      <c r="F4449">
        <v>1761.79</v>
      </c>
    </row>
    <row r="4450" spans="1:6" hidden="1" x14ac:dyDescent="0.25">
      <c r="A4450" t="s">
        <v>658</v>
      </c>
      <c r="B4450" t="s">
        <v>302</v>
      </c>
      <c r="E4450" s="3">
        <f>HYPERLINK("https://sao.dolgi.msk.ru/account/1404248621/", 1404248621)</f>
        <v>1404248621</v>
      </c>
      <c r="F4450">
        <v>0</v>
      </c>
    </row>
    <row r="4451" spans="1:6" hidden="1" x14ac:dyDescent="0.25">
      <c r="A4451" t="s">
        <v>658</v>
      </c>
      <c r="B4451" t="s">
        <v>303</v>
      </c>
      <c r="E4451" s="3">
        <f>HYPERLINK("https://sao.dolgi.msk.ru/account/1404250895/", 1404250895)</f>
        <v>1404250895</v>
      </c>
      <c r="F4451">
        <v>-2784.97</v>
      </c>
    </row>
    <row r="4452" spans="1:6" hidden="1" x14ac:dyDescent="0.25">
      <c r="A4452" t="s">
        <v>658</v>
      </c>
      <c r="B4452" t="s">
        <v>304</v>
      </c>
      <c r="E4452" s="3">
        <f>HYPERLINK("https://sao.dolgi.msk.ru/account/1404247362/", 1404247362)</f>
        <v>1404247362</v>
      </c>
      <c r="F4452">
        <v>-2160.35</v>
      </c>
    </row>
    <row r="4453" spans="1:6" hidden="1" x14ac:dyDescent="0.25">
      <c r="A4453" t="s">
        <v>658</v>
      </c>
      <c r="B4453" t="s">
        <v>305</v>
      </c>
      <c r="E4453" s="3">
        <f>HYPERLINK("https://sao.dolgi.msk.ru/account/1404247602/", 1404247602)</f>
        <v>1404247602</v>
      </c>
      <c r="F4453">
        <v>-1797.99</v>
      </c>
    </row>
    <row r="4454" spans="1:6" hidden="1" x14ac:dyDescent="0.25">
      <c r="A4454" t="s">
        <v>658</v>
      </c>
      <c r="B4454" t="s">
        <v>306</v>
      </c>
      <c r="E4454" s="3">
        <f>HYPERLINK("https://sao.dolgi.msk.ru/account/1404250828/", 1404250828)</f>
        <v>1404250828</v>
      </c>
      <c r="F4454">
        <v>0</v>
      </c>
    </row>
    <row r="4455" spans="1:6" hidden="1" x14ac:dyDescent="0.25">
      <c r="A4455" t="s">
        <v>658</v>
      </c>
      <c r="B4455" t="s">
        <v>307</v>
      </c>
      <c r="E4455" s="3">
        <f>HYPERLINK("https://sao.dolgi.msk.ru/account/1404249827/", 1404249827)</f>
        <v>1404249827</v>
      </c>
      <c r="F4455">
        <v>-2583.7399999999998</v>
      </c>
    </row>
    <row r="4456" spans="1:6" hidden="1" x14ac:dyDescent="0.25">
      <c r="A4456" t="s">
        <v>658</v>
      </c>
      <c r="B4456" t="s">
        <v>308</v>
      </c>
      <c r="E4456" s="3">
        <f>HYPERLINK("https://sao.dolgi.msk.ru/account/1404251476/", 1404251476)</f>
        <v>1404251476</v>
      </c>
      <c r="F4456">
        <v>-2939.63</v>
      </c>
    </row>
    <row r="4457" spans="1:6" hidden="1" x14ac:dyDescent="0.25">
      <c r="A4457" t="s">
        <v>658</v>
      </c>
      <c r="B4457" t="s">
        <v>309</v>
      </c>
      <c r="E4457" s="3">
        <f>HYPERLINK("https://sao.dolgi.msk.ru/account/1404251038/", 1404251038)</f>
        <v>1404251038</v>
      </c>
      <c r="F4457">
        <v>-2537.5100000000002</v>
      </c>
    </row>
    <row r="4458" spans="1:6" hidden="1" x14ac:dyDescent="0.25">
      <c r="A4458" t="s">
        <v>658</v>
      </c>
      <c r="B4458" t="s">
        <v>310</v>
      </c>
      <c r="E4458" s="3">
        <f>HYPERLINK("https://sao.dolgi.msk.ru/account/1404245965/", 1404245965)</f>
        <v>1404245965</v>
      </c>
      <c r="F4458">
        <v>-566.12</v>
      </c>
    </row>
    <row r="4459" spans="1:6" hidden="1" x14ac:dyDescent="0.25">
      <c r="A4459" t="s">
        <v>658</v>
      </c>
      <c r="B4459" t="s">
        <v>311</v>
      </c>
      <c r="E4459" s="3">
        <f>HYPERLINK("https://sao.dolgi.msk.ru/account/1404250545/", 1404250545)</f>
        <v>1404250545</v>
      </c>
      <c r="F4459">
        <v>-2106.86</v>
      </c>
    </row>
    <row r="4460" spans="1:6" x14ac:dyDescent="0.25">
      <c r="A4460" t="s">
        <v>658</v>
      </c>
      <c r="B4460" t="s">
        <v>312</v>
      </c>
      <c r="C4460" s="5" t="str">
        <f t="shared" ref="C4460:C4461" si="212">" кв. "&amp;B4460</f>
        <v xml:space="preserve"> кв. 305</v>
      </c>
      <c r="D4460" s="5" t="str">
        <f>CONCATENATE(A4460,C4460)</f>
        <v>Валдайский пр., дом 10 к.1 кв. 305</v>
      </c>
      <c r="E4460" s="3">
        <f>HYPERLINK("https://sao.dolgi.msk.ru/account/1404246642/", 1404246642)</f>
        <v>1404246642</v>
      </c>
      <c r="F4460">
        <v>1243.05</v>
      </c>
    </row>
    <row r="4461" spans="1:6" x14ac:dyDescent="0.25">
      <c r="A4461" t="s">
        <v>658</v>
      </c>
      <c r="B4461" t="s">
        <v>313</v>
      </c>
      <c r="C4461" s="5" t="str">
        <f t="shared" si="212"/>
        <v xml:space="preserve"> кв. 306</v>
      </c>
      <c r="D4461" s="5" t="str">
        <f>CONCATENATE(A4461,C4461)</f>
        <v>Валдайский пр., дом 10 к.1 кв. 306</v>
      </c>
      <c r="E4461" s="3">
        <f>HYPERLINK("https://sao.dolgi.msk.ru/account/1404246298/", 1404246298)</f>
        <v>1404246298</v>
      </c>
      <c r="F4461">
        <v>2021.16</v>
      </c>
    </row>
    <row r="4462" spans="1:6" hidden="1" x14ac:dyDescent="0.25">
      <c r="A4462" t="s">
        <v>658</v>
      </c>
      <c r="B4462" t="s">
        <v>314</v>
      </c>
      <c r="E4462" s="3">
        <f>HYPERLINK("https://sao.dolgi.msk.ru/account/1404246538/", 1404246538)</f>
        <v>1404246538</v>
      </c>
      <c r="F4462">
        <v>-2579.11</v>
      </c>
    </row>
    <row r="4463" spans="1:6" hidden="1" x14ac:dyDescent="0.25">
      <c r="A4463" t="s">
        <v>658</v>
      </c>
      <c r="B4463" t="s">
        <v>315</v>
      </c>
      <c r="E4463" s="3">
        <f>HYPERLINK("https://sao.dolgi.msk.ru/account/1404250086/", 1404250086)</f>
        <v>1404250086</v>
      </c>
      <c r="F4463">
        <v>-1797.99</v>
      </c>
    </row>
    <row r="4464" spans="1:6" hidden="1" x14ac:dyDescent="0.25">
      <c r="A4464" t="s">
        <v>658</v>
      </c>
      <c r="B4464" t="s">
        <v>316</v>
      </c>
      <c r="E4464" s="3">
        <f>HYPERLINK("https://sao.dolgi.msk.ru/account/1404251345/", 1404251345)</f>
        <v>1404251345</v>
      </c>
      <c r="F4464">
        <v>-2588.36</v>
      </c>
    </row>
    <row r="4465" spans="1:6" hidden="1" x14ac:dyDescent="0.25">
      <c r="A4465" t="s">
        <v>658</v>
      </c>
      <c r="B4465" t="s">
        <v>317</v>
      </c>
      <c r="E4465" s="3">
        <f>HYPERLINK("https://sao.dolgi.msk.ru/account/1404249261/", 1404249261)</f>
        <v>1404249261</v>
      </c>
      <c r="F4465">
        <v>-2583.7399999999998</v>
      </c>
    </row>
    <row r="4466" spans="1:6" x14ac:dyDescent="0.25">
      <c r="A4466" t="s">
        <v>658</v>
      </c>
      <c r="B4466" t="s">
        <v>318</v>
      </c>
      <c r="C4466" s="5" t="str">
        <f>" кв. "&amp;B4466</f>
        <v xml:space="preserve"> кв. 311</v>
      </c>
      <c r="D4466" s="5" t="str">
        <f>CONCATENATE(A4466,C4466)</f>
        <v>Валдайский пр., дом 10 к.1 кв. 311</v>
      </c>
      <c r="E4466" s="3">
        <f>HYPERLINK("https://sao.dolgi.msk.ru/account/1404249202/", 1404249202)</f>
        <v>1404249202</v>
      </c>
      <c r="F4466">
        <v>2008.51</v>
      </c>
    </row>
    <row r="4467" spans="1:6" hidden="1" x14ac:dyDescent="0.25">
      <c r="A4467" t="s">
        <v>658</v>
      </c>
      <c r="B4467" t="s">
        <v>319</v>
      </c>
      <c r="E4467" s="3">
        <f>HYPERLINK("https://sao.dolgi.msk.ru/account/1404251521/", 1404251521)</f>
        <v>1404251521</v>
      </c>
      <c r="F4467">
        <v>-2556</v>
      </c>
    </row>
    <row r="4468" spans="1:6" hidden="1" x14ac:dyDescent="0.25">
      <c r="A4468" t="s">
        <v>658</v>
      </c>
      <c r="B4468" t="s">
        <v>422</v>
      </c>
      <c r="E4468" s="3">
        <f>HYPERLINK("https://sao.dolgi.msk.ru/account/1404249253/", 1404249253)</f>
        <v>1404249253</v>
      </c>
      <c r="F4468">
        <v>-1802.61</v>
      </c>
    </row>
    <row r="4469" spans="1:6" hidden="1" x14ac:dyDescent="0.25">
      <c r="A4469" t="s">
        <v>658</v>
      </c>
      <c r="B4469" t="s">
        <v>423</v>
      </c>
      <c r="E4469" s="3">
        <f>HYPERLINK("https://sao.dolgi.msk.ru/account/1404250553/", 1404250553)</f>
        <v>1404250553</v>
      </c>
      <c r="F4469">
        <v>-2579.11</v>
      </c>
    </row>
    <row r="4470" spans="1:6" x14ac:dyDescent="0.25">
      <c r="A4470" t="s">
        <v>658</v>
      </c>
      <c r="B4470" t="s">
        <v>424</v>
      </c>
      <c r="C4470" s="5" t="str">
        <f>" кв. "&amp;B4470</f>
        <v xml:space="preserve"> кв. 315</v>
      </c>
      <c r="D4470" s="5" t="str">
        <f>CONCATENATE(A4470,C4470)</f>
        <v>Валдайский пр., дом 10 к.1 кв. 315</v>
      </c>
      <c r="E4470" s="3">
        <f>HYPERLINK("https://sao.dolgi.msk.ru/account/1404251337/", 1404251337)</f>
        <v>1404251337</v>
      </c>
      <c r="F4470">
        <v>1771.28</v>
      </c>
    </row>
    <row r="4471" spans="1:6" hidden="1" x14ac:dyDescent="0.25">
      <c r="A4471" t="s">
        <v>658</v>
      </c>
      <c r="B4471" t="s">
        <v>425</v>
      </c>
      <c r="E4471" s="3">
        <f>HYPERLINK("https://sao.dolgi.msk.ru/account/1404247231/", 1404247231)</f>
        <v>1404247231</v>
      </c>
      <c r="F4471">
        <v>-2471.75</v>
      </c>
    </row>
    <row r="4472" spans="1:6" hidden="1" x14ac:dyDescent="0.25">
      <c r="A4472" t="s">
        <v>658</v>
      </c>
      <c r="B4472" t="s">
        <v>426</v>
      </c>
      <c r="E4472" s="3">
        <f>HYPERLINK("https://sao.dolgi.msk.ru/account/1404248381/", 1404248381)</f>
        <v>1404248381</v>
      </c>
      <c r="F4472">
        <v>-2164.25</v>
      </c>
    </row>
    <row r="4473" spans="1:6" hidden="1" x14ac:dyDescent="0.25">
      <c r="A4473" t="s">
        <v>658</v>
      </c>
      <c r="B4473" t="s">
        <v>427</v>
      </c>
      <c r="E4473" s="3">
        <f>HYPERLINK("https://sao.dolgi.msk.ru/account/1404248146/", 1404248146)</f>
        <v>1404248146</v>
      </c>
      <c r="F4473">
        <v>-567.58000000000004</v>
      </c>
    </row>
    <row r="4474" spans="1:6" x14ac:dyDescent="0.25">
      <c r="A4474" t="s">
        <v>658</v>
      </c>
      <c r="B4474" t="s">
        <v>428</v>
      </c>
      <c r="C4474" s="5" t="str">
        <f>" кв. "&amp;B4474</f>
        <v xml:space="preserve"> кв. 319</v>
      </c>
      <c r="D4474" s="5" t="str">
        <f>CONCATENATE(A4474,C4474)</f>
        <v>Валдайский пр., дом 10 к.1 кв. 319</v>
      </c>
      <c r="E4474" s="3">
        <f>HYPERLINK("https://sao.dolgi.msk.ru/account/1404249771/", 1404249771)</f>
        <v>1404249771</v>
      </c>
      <c r="F4474">
        <v>1755.47</v>
      </c>
    </row>
    <row r="4475" spans="1:6" hidden="1" x14ac:dyDescent="0.25">
      <c r="A4475" t="s">
        <v>658</v>
      </c>
      <c r="B4475" t="s">
        <v>321</v>
      </c>
      <c r="E4475" s="3">
        <f>HYPERLINK("https://sao.dolgi.msk.ru/account/1404246407/", 1404246407)</f>
        <v>1404246407</v>
      </c>
      <c r="F4475">
        <v>-1821.1</v>
      </c>
    </row>
    <row r="4476" spans="1:6" hidden="1" x14ac:dyDescent="0.25">
      <c r="A4476" t="s">
        <v>658</v>
      </c>
      <c r="B4476" t="s">
        <v>322</v>
      </c>
      <c r="E4476" s="3">
        <f>HYPERLINK("https://sao.dolgi.msk.ru/account/1404248728/", 1404248728)</f>
        <v>1404248728</v>
      </c>
      <c r="F4476">
        <v>-927.96</v>
      </c>
    </row>
    <row r="4477" spans="1:6" hidden="1" x14ac:dyDescent="0.25">
      <c r="A4477" t="s">
        <v>658</v>
      </c>
      <c r="B4477" t="s">
        <v>323</v>
      </c>
      <c r="E4477" s="3">
        <f>HYPERLINK("https://sao.dolgi.msk.ru/account/1404249157/", 1404249157)</f>
        <v>1404249157</v>
      </c>
      <c r="F4477">
        <v>-2569.87</v>
      </c>
    </row>
    <row r="4478" spans="1:6" hidden="1" x14ac:dyDescent="0.25">
      <c r="A4478" t="s">
        <v>658</v>
      </c>
      <c r="B4478" t="s">
        <v>324</v>
      </c>
      <c r="E4478" s="3">
        <f>HYPERLINK("https://sao.dolgi.msk.ru/account/1404250887/", 1404250887)</f>
        <v>1404250887</v>
      </c>
      <c r="F4478">
        <v>-1514.21</v>
      </c>
    </row>
    <row r="4479" spans="1:6" hidden="1" x14ac:dyDescent="0.25">
      <c r="A4479" t="s">
        <v>658</v>
      </c>
      <c r="B4479" t="s">
        <v>325</v>
      </c>
      <c r="E4479" s="3">
        <f>HYPERLINK("https://sao.dolgi.msk.ru/account/1404247389/", 1404247389)</f>
        <v>1404247389</v>
      </c>
      <c r="F4479">
        <v>-2588.36</v>
      </c>
    </row>
    <row r="4480" spans="1:6" hidden="1" x14ac:dyDescent="0.25">
      <c r="A4480" t="s">
        <v>658</v>
      </c>
      <c r="B4480" t="s">
        <v>326</v>
      </c>
      <c r="E4480" s="3">
        <f>HYPERLINK("https://sao.dolgi.msk.ru/account/1404247223/", 1404247223)</f>
        <v>1404247223</v>
      </c>
      <c r="F4480">
        <v>0</v>
      </c>
    </row>
    <row r="4481" spans="1:6" hidden="1" x14ac:dyDescent="0.25">
      <c r="A4481" t="s">
        <v>658</v>
      </c>
      <c r="B4481" t="s">
        <v>327</v>
      </c>
      <c r="E4481" s="3">
        <f>HYPERLINK("https://sao.dolgi.msk.ru/account/1404246327/", 1404246327)</f>
        <v>1404246327</v>
      </c>
      <c r="F4481">
        <v>-3044.74</v>
      </c>
    </row>
    <row r="4482" spans="1:6" hidden="1" x14ac:dyDescent="0.25">
      <c r="A4482" t="s">
        <v>658</v>
      </c>
      <c r="B4482" t="s">
        <v>328</v>
      </c>
      <c r="E4482" s="3">
        <f>HYPERLINK("https://sao.dolgi.msk.ru/account/1404248488/", 1404248488)</f>
        <v>1404248488</v>
      </c>
      <c r="F4482">
        <v>-2574.4899999999998</v>
      </c>
    </row>
    <row r="4483" spans="1:6" hidden="1" x14ac:dyDescent="0.25">
      <c r="A4483" t="s">
        <v>658</v>
      </c>
      <c r="B4483" t="s">
        <v>329</v>
      </c>
      <c r="E4483" s="3">
        <f>HYPERLINK("https://sao.dolgi.msk.ru/account/1404248808/", 1404248808)</f>
        <v>1404248808</v>
      </c>
      <c r="F4483">
        <v>-1784.12</v>
      </c>
    </row>
    <row r="4484" spans="1:6" hidden="1" x14ac:dyDescent="0.25">
      <c r="A4484" t="s">
        <v>658</v>
      </c>
      <c r="B4484" t="s">
        <v>330</v>
      </c>
      <c r="E4484" s="3">
        <f>HYPERLINK("https://sao.dolgi.msk.ru/account/1404249122/", 1404249122)</f>
        <v>1404249122</v>
      </c>
      <c r="F4484">
        <v>-1811.85</v>
      </c>
    </row>
    <row r="4485" spans="1:6" hidden="1" x14ac:dyDescent="0.25">
      <c r="A4485" t="s">
        <v>658</v>
      </c>
      <c r="B4485" t="s">
        <v>331</v>
      </c>
      <c r="E4485" s="3">
        <f>HYPERLINK("https://sao.dolgi.msk.ru/account/1404250537/", 1404250537)</f>
        <v>1404250537</v>
      </c>
      <c r="F4485">
        <v>-2583.7399999999998</v>
      </c>
    </row>
    <row r="4486" spans="1:6" hidden="1" x14ac:dyDescent="0.25">
      <c r="A4486" t="s">
        <v>658</v>
      </c>
      <c r="B4486" t="s">
        <v>332</v>
      </c>
      <c r="E4486" s="3">
        <f>HYPERLINK("https://sao.dolgi.msk.ru/account/1404251206/", 1404251206)</f>
        <v>1404251206</v>
      </c>
      <c r="F4486">
        <v>-2962.74</v>
      </c>
    </row>
    <row r="4487" spans="1:6" x14ac:dyDescent="0.25">
      <c r="A4487" t="s">
        <v>658</v>
      </c>
      <c r="B4487" t="s">
        <v>333</v>
      </c>
      <c r="C4487" s="5" t="str">
        <f>" кв. "&amp;B4487</f>
        <v xml:space="preserve"> кв. 332</v>
      </c>
      <c r="D4487" s="5" t="str">
        <f>CONCATENATE(A4487,C4487)</f>
        <v>Валдайский пр., дом 10 к.1 кв. 332</v>
      </c>
      <c r="E4487" s="3">
        <f>HYPERLINK("https://sao.dolgi.msk.ru/account/1404251409/", 1404251409)</f>
        <v>1404251409</v>
      </c>
      <c r="F4487">
        <v>1761.79</v>
      </c>
    </row>
    <row r="4488" spans="1:6" hidden="1" x14ac:dyDescent="0.25">
      <c r="A4488" t="s">
        <v>658</v>
      </c>
      <c r="B4488" t="s">
        <v>334</v>
      </c>
      <c r="E4488" s="3">
        <f>HYPERLINK("https://sao.dolgi.msk.ru/account/1404250342/", 1404250342)</f>
        <v>1404250342</v>
      </c>
      <c r="F4488">
        <v>-1548</v>
      </c>
    </row>
    <row r="4489" spans="1:6" hidden="1" x14ac:dyDescent="0.25">
      <c r="A4489" t="s">
        <v>658</v>
      </c>
      <c r="B4489" t="s">
        <v>335</v>
      </c>
      <c r="E4489" s="3">
        <f>HYPERLINK("https://sao.dolgi.msk.ru/account/1404249851/", 1404249851)</f>
        <v>1404249851</v>
      </c>
      <c r="F4489">
        <v>-2569.87</v>
      </c>
    </row>
    <row r="4490" spans="1:6" hidden="1" x14ac:dyDescent="0.25">
      <c r="A4490" t="s">
        <v>658</v>
      </c>
      <c r="B4490" t="s">
        <v>336</v>
      </c>
      <c r="E4490" s="3">
        <f>HYPERLINK("https://sao.dolgi.msk.ru/account/1404249739/", 1404249739)</f>
        <v>1404249739</v>
      </c>
      <c r="F4490">
        <v>-2579.11</v>
      </c>
    </row>
    <row r="4491" spans="1:6" hidden="1" x14ac:dyDescent="0.25">
      <c r="A4491" t="s">
        <v>658</v>
      </c>
      <c r="B4491" t="s">
        <v>337</v>
      </c>
      <c r="E4491" s="3">
        <f>HYPERLINK("https://sao.dolgi.msk.ru/account/1404246052/", 1404246052)</f>
        <v>1404246052</v>
      </c>
      <c r="F4491">
        <v>-2495.1</v>
      </c>
    </row>
    <row r="4492" spans="1:6" x14ac:dyDescent="0.25">
      <c r="A4492" t="s">
        <v>658</v>
      </c>
      <c r="B4492" t="s">
        <v>338</v>
      </c>
      <c r="C4492" s="5" t="str">
        <f>" кв. "&amp;B4492</f>
        <v xml:space="preserve"> кв. 337</v>
      </c>
      <c r="D4492" s="5" t="str">
        <f>CONCATENATE(A4492,C4492)</f>
        <v>Валдайский пр., дом 10 к.1 кв. 337</v>
      </c>
      <c r="E4492" s="3">
        <f>HYPERLINK("https://sao.dolgi.msk.ru/account/1404248189/", 1404248189)</f>
        <v>1404248189</v>
      </c>
      <c r="F4492">
        <v>1755.47</v>
      </c>
    </row>
    <row r="4493" spans="1:6" hidden="1" x14ac:dyDescent="0.25">
      <c r="A4493" t="s">
        <v>658</v>
      </c>
      <c r="B4493" t="s">
        <v>339</v>
      </c>
      <c r="E4493" s="3">
        <f>HYPERLINK("https://sao.dolgi.msk.ru/account/1404250801/", 1404250801)</f>
        <v>1404250801</v>
      </c>
      <c r="F4493">
        <v>0</v>
      </c>
    </row>
    <row r="4494" spans="1:6" x14ac:dyDescent="0.25">
      <c r="A4494" t="s">
        <v>658</v>
      </c>
      <c r="B4494" t="s">
        <v>340</v>
      </c>
      <c r="C4494" s="5" t="str">
        <f>" кв. "&amp;B4494</f>
        <v xml:space="preserve"> кв. 339</v>
      </c>
      <c r="D4494" s="5" t="str">
        <f>CONCATENATE(A4494,C4494)</f>
        <v>Валдайский пр., дом 10 к.1 кв. 339</v>
      </c>
      <c r="E4494" s="3">
        <f>HYPERLINK("https://sao.dolgi.msk.ru/account/1404246263/", 1404246263)</f>
        <v>1404246263</v>
      </c>
      <c r="F4494">
        <v>1771.28</v>
      </c>
    </row>
    <row r="4495" spans="1:6" hidden="1" x14ac:dyDescent="0.25">
      <c r="A4495" t="s">
        <v>658</v>
      </c>
      <c r="B4495" t="s">
        <v>341</v>
      </c>
      <c r="E4495" s="3">
        <f>HYPERLINK("https://sao.dolgi.msk.ru/account/1404248357/", 1404248357)</f>
        <v>1404248357</v>
      </c>
      <c r="F4495">
        <v>-2583.7399999999998</v>
      </c>
    </row>
    <row r="4496" spans="1:6" hidden="1" x14ac:dyDescent="0.25">
      <c r="A4496" t="s">
        <v>658</v>
      </c>
      <c r="B4496" t="s">
        <v>342</v>
      </c>
      <c r="E4496" s="3">
        <f>HYPERLINK("https://sao.dolgi.msk.ru/account/1404246183/", 1404246183)</f>
        <v>1404246183</v>
      </c>
      <c r="F4496">
        <v>-2190.87</v>
      </c>
    </row>
    <row r="4497" spans="1:6" hidden="1" x14ac:dyDescent="0.25">
      <c r="A4497" t="s">
        <v>658</v>
      </c>
      <c r="B4497" t="s">
        <v>343</v>
      </c>
      <c r="E4497" s="3">
        <f>HYPERLINK("https://sao.dolgi.msk.ru/account/1404250369/", 1404250369)</f>
        <v>1404250369</v>
      </c>
      <c r="F4497">
        <v>0</v>
      </c>
    </row>
    <row r="4498" spans="1:6" hidden="1" x14ac:dyDescent="0.25">
      <c r="A4498" t="s">
        <v>658</v>
      </c>
      <c r="B4498" t="s">
        <v>344</v>
      </c>
      <c r="E4498" s="3">
        <f>HYPERLINK("https://sao.dolgi.msk.ru/account/1404251003/", 1404251003)</f>
        <v>1404251003</v>
      </c>
      <c r="F4498">
        <v>-1811.86</v>
      </c>
    </row>
    <row r="4499" spans="1:6" x14ac:dyDescent="0.25">
      <c r="A4499" t="s">
        <v>658</v>
      </c>
      <c r="B4499" t="s">
        <v>345</v>
      </c>
      <c r="C4499" s="5" t="str">
        <f>" кв. "&amp;B4499</f>
        <v xml:space="preserve"> кв. 344</v>
      </c>
      <c r="D4499" s="5" t="str">
        <f>CONCATENATE(A4499,C4499)</f>
        <v>Валдайский пр., дом 10 к.1 кв. 344</v>
      </c>
      <c r="E4499" s="3">
        <f>HYPERLINK("https://sao.dolgi.msk.ru/account/1404251556/", 1404251556)</f>
        <v>1404251556</v>
      </c>
      <c r="F4499">
        <v>1761.79</v>
      </c>
    </row>
    <row r="4500" spans="1:6" hidden="1" x14ac:dyDescent="0.25">
      <c r="A4500" t="s">
        <v>658</v>
      </c>
      <c r="B4500" t="s">
        <v>346</v>
      </c>
      <c r="E4500" s="3">
        <f>HYPERLINK("https://sao.dolgi.msk.ru/account/1404249173/", 1404249173)</f>
        <v>1404249173</v>
      </c>
      <c r="F4500">
        <v>-2597.61</v>
      </c>
    </row>
    <row r="4501" spans="1:6" hidden="1" x14ac:dyDescent="0.25">
      <c r="A4501" t="s">
        <v>658</v>
      </c>
      <c r="B4501" t="s">
        <v>347</v>
      </c>
      <c r="E4501" s="3">
        <f>HYPERLINK("https://sao.dolgi.msk.ru/account/1404251134/", 1404251134)</f>
        <v>1404251134</v>
      </c>
      <c r="F4501">
        <v>0</v>
      </c>
    </row>
    <row r="4502" spans="1:6" x14ac:dyDescent="0.25">
      <c r="A4502" t="s">
        <v>658</v>
      </c>
      <c r="B4502" t="s">
        <v>348</v>
      </c>
      <c r="C4502" s="5" t="str">
        <f t="shared" ref="C4502:C4503" si="213">" кв. "&amp;B4502</f>
        <v xml:space="preserve"> кв. 347</v>
      </c>
      <c r="D4502" s="5" t="str">
        <f>CONCATENATE(A4502,C4502)</f>
        <v>Валдайский пр., дом 10 к.1 кв. 347</v>
      </c>
      <c r="E4502" s="3">
        <f>HYPERLINK("https://sao.dolgi.msk.ru/account/1404250078/", 1404250078)</f>
        <v>1404250078</v>
      </c>
      <c r="F4502">
        <v>1755.47</v>
      </c>
    </row>
    <row r="4503" spans="1:6" x14ac:dyDescent="0.25">
      <c r="A4503" t="s">
        <v>658</v>
      </c>
      <c r="B4503" t="s">
        <v>349</v>
      </c>
      <c r="C4503" s="5" t="str">
        <f t="shared" si="213"/>
        <v xml:space="preserve"> кв. 348</v>
      </c>
      <c r="D4503" s="5" t="str">
        <f>CONCATENATE(A4503,C4503)</f>
        <v>Валдайский пр., дом 10 к.1 кв. 348</v>
      </c>
      <c r="E4503" s="3">
        <f>HYPERLINK("https://sao.dolgi.msk.ru/account/1404246204/", 1404246204)</f>
        <v>1404246204</v>
      </c>
      <c r="F4503">
        <v>1230.4100000000001</v>
      </c>
    </row>
    <row r="4504" spans="1:6" hidden="1" x14ac:dyDescent="0.25">
      <c r="A4504" t="s">
        <v>658</v>
      </c>
      <c r="B4504" t="s">
        <v>350</v>
      </c>
      <c r="E4504" s="3">
        <f>HYPERLINK("https://sao.dolgi.msk.ru/account/1404251222/", 1404251222)</f>
        <v>1404251222</v>
      </c>
      <c r="F4504">
        <v>0</v>
      </c>
    </row>
    <row r="4505" spans="1:6" hidden="1" x14ac:dyDescent="0.25">
      <c r="A4505" t="s">
        <v>658</v>
      </c>
      <c r="B4505" t="s">
        <v>351</v>
      </c>
      <c r="E4505" s="3">
        <f>HYPERLINK("https://sao.dolgi.msk.ru/account/1404246108/", 1404246108)</f>
        <v>1404246108</v>
      </c>
      <c r="F4505">
        <v>-2592.98</v>
      </c>
    </row>
    <row r="4506" spans="1:6" hidden="1" x14ac:dyDescent="0.25">
      <c r="A4506" t="s">
        <v>658</v>
      </c>
      <c r="B4506" t="s">
        <v>352</v>
      </c>
      <c r="E4506" s="3">
        <f>HYPERLINK("https://sao.dolgi.msk.ru/account/1404246335/", 1404246335)</f>
        <v>1404246335</v>
      </c>
      <c r="F4506">
        <v>-1952.37</v>
      </c>
    </row>
    <row r="4507" spans="1:6" hidden="1" x14ac:dyDescent="0.25">
      <c r="A4507" t="s">
        <v>658</v>
      </c>
      <c r="B4507" t="s">
        <v>352</v>
      </c>
      <c r="E4507" s="3">
        <f>HYPERLINK("https://sao.dolgi.msk.ru/account/1404249421/", 1404249421)</f>
        <v>1404249421</v>
      </c>
      <c r="F4507">
        <v>-1005.77</v>
      </c>
    </row>
    <row r="4508" spans="1:6" hidden="1" x14ac:dyDescent="0.25">
      <c r="A4508" t="s">
        <v>658</v>
      </c>
      <c r="B4508" t="s">
        <v>353</v>
      </c>
      <c r="E4508" s="3">
        <f>HYPERLINK("https://sao.dolgi.msk.ru/account/1404246079/", 1404246079)</f>
        <v>1404246079</v>
      </c>
      <c r="F4508">
        <v>-2583.7399999999998</v>
      </c>
    </row>
    <row r="4509" spans="1:6" hidden="1" x14ac:dyDescent="0.25">
      <c r="A4509" t="s">
        <v>658</v>
      </c>
      <c r="B4509" t="s">
        <v>354</v>
      </c>
      <c r="E4509" s="3">
        <f>HYPERLINK("https://sao.dolgi.msk.ru/account/1404250246/", 1404250246)</f>
        <v>1404250246</v>
      </c>
      <c r="F4509">
        <v>-1797.99</v>
      </c>
    </row>
    <row r="4510" spans="1:6" hidden="1" x14ac:dyDescent="0.25">
      <c r="A4510" t="s">
        <v>658</v>
      </c>
      <c r="B4510" t="s">
        <v>355</v>
      </c>
      <c r="E4510" s="3">
        <f>HYPERLINK("https://sao.dolgi.msk.ru/account/1404248293/", 1404248293)</f>
        <v>1404248293</v>
      </c>
      <c r="F4510">
        <v>-2592.98</v>
      </c>
    </row>
    <row r="4511" spans="1:6" x14ac:dyDescent="0.25">
      <c r="A4511" t="s">
        <v>658</v>
      </c>
      <c r="B4511" t="s">
        <v>356</v>
      </c>
      <c r="C4511" s="5" t="str">
        <f t="shared" ref="C4511:C4512" si="214">" кв. "&amp;B4511</f>
        <v xml:space="preserve"> кв. 355</v>
      </c>
      <c r="D4511" s="5" t="str">
        <f>CONCATENATE(A4511,C4511)</f>
        <v>Валдайский пр., дом 10 к.1 кв. 355</v>
      </c>
      <c r="E4511" s="3">
        <f>HYPERLINK("https://sao.dolgi.msk.ru/account/1404251548/", 1404251548)</f>
        <v>1404251548</v>
      </c>
      <c r="F4511">
        <v>1774.44</v>
      </c>
    </row>
    <row r="4512" spans="1:6" x14ac:dyDescent="0.25">
      <c r="A4512" t="s">
        <v>658</v>
      </c>
      <c r="B4512" t="s">
        <v>357</v>
      </c>
      <c r="C4512" s="5" t="str">
        <f t="shared" si="214"/>
        <v xml:space="preserve"> кв. 356</v>
      </c>
      <c r="D4512" s="5" t="str">
        <f>CONCATENATE(A4512,C4512)</f>
        <v>Валдайский пр., дом 10 к.1 кв. 356</v>
      </c>
      <c r="E4512" s="3">
        <f>HYPERLINK("https://sao.dolgi.msk.ru/account/1404249317/", 1404249317)</f>
        <v>1404249317</v>
      </c>
      <c r="F4512">
        <v>2030.65</v>
      </c>
    </row>
    <row r="4513" spans="1:6" hidden="1" x14ac:dyDescent="0.25">
      <c r="A4513" t="s">
        <v>658</v>
      </c>
      <c r="B4513" t="s">
        <v>358</v>
      </c>
      <c r="E4513" s="3">
        <f>HYPERLINK("https://sao.dolgi.msk.ru/account/1404249747/", 1404249747)</f>
        <v>1404249747</v>
      </c>
      <c r="F4513">
        <v>0</v>
      </c>
    </row>
    <row r="4514" spans="1:6" hidden="1" x14ac:dyDescent="0.25">
      <c r="A4514" t="s">
        <v>658</v>
      </c>
      <c r="B4514" t="s">
        <v>359</v>
      </c>
      <c r="E4514" s="3">
        <f>HYPERLINK("https://sao.dolgi.msk.ru/account/1404249499/", 1404249499)</f>
        <v>1404249499</v>
      </c>
      <c r="F4514">
        <v>0</v>
      </c>
    </row>
    <row r="4515" spans="1:6" hidden="1" x14ac:dyDescent="0.25">
      <c r="A4515" t="s">
        <v>658</v>
      </c>
      <c r="B4515" t="s">
        <v>360</v>
      </c>
      <c r="E4515" s="3">
        <f>HYPERLINK("https://sao.dolgi.msk.ru/account/1404249341/", 1404249341)</f>
        <v>1404249341</v>
      </c>
      <c r="F4515">
        <v>-2597.61</v>
      </c>
    </row>
    <row r="4516" spans="1:6" x14ac:dyDescent="0.25">
      <c r="A4516" t="s">
        <v>658</v>
      </c>
      <c r="B4516" t="s">
        <v>361</v>
      </c>
      <c r="C4516" s="5" t="str">
        <f>" кв. "&amp;B4516</f>
        <v xml:space="preserve"> кв. 360</v>
      </c>
      <c r="D4516" s="5" t="str">
        <f>CONCATENATE(A4516,C4516)</f>
        <v>Валдайский пр., дом 10 к.1 кв. 360</v>
      </c>
      <c r="E4516" s="3">
        <f>HYPERLINK("https://sao.dolgi.msk.ru/account/1404246132/", 1404246132)</f>
        <v>1404246132</v>
      </c>
      <c r="F4516">
        <v>1783.93</v>
      </c>
    </row>
    <row r="4517" spans="1:6" hidden="1" x14ac:dyDescent="0.25">
      <c r="A4517" t="s">
        <v>658</v>
      </c>
      <c r="B4517" t="s">
        <v>362</v>
      </c>
      <c r="E4517" s="3">
        <f>HYPERLINK("https://sao.dolgi.msk.ru/account/1404248912/", 1404248912)</f>
        <v>1404248912</v>
      </c>
      <c r="F4517">
        <v>-3420.34</v>
      </c>
    </row>
    <row r="4518" spans="1:6" hidden="1" x14ac:dyDescent="0.25">
      <c r="A4518" t="s">
        <v>658</v>
      </c>
      <c r="B4518" t="s">
        <v>363</v>
      </c>
      <c r="E4518" s="3">
        <f>HYPERLINK("https://sao.dolgi.msk.ru/account/1404247119/", 1404247119)</f>
        <v>1404247119</v>
      </c>
      <c r="F4518">
        <v>-2611.48</v>
      </c>
    </row>
    <row r="4519" spans="1:6" hidden="1" x14ac:dyDescent="0.25">
      <c r="A4519" t="s">
        <v>658</v>
      </c>
      <c r="B4519" t="s">
        <v>364</v>
      </c>
      <c r="E4519" s="3">
        <f>HYPERLINK("https://sao.dolgi.msk.ru/account/1404246917/", 1404246917)</f>
        <v>1404246917</v>
      </c>
      <c r="F4519">
        <v>-1310.3499999999999</v>
      </c>
    </row>
    <row r="4520" spans="1:6" hidden="1" x14ac:dyDescent="0.25">
      <c r="A4520" t="s">
        <v>658</v>
      </c>
      <c r="B4520" t="s">
        <v>364</v>
      </c>
      <c r="E4520" s="3">
        <f>HYPERLINK("https://sao.dolgi.msk.ru/account/1404249974/", 1404249974)</f>
        <v>1404249974</v>
      </c>
      <c r="F4520">
        <v>-413.64</v>
      </c>
    </row>
    <row r="4521" spans="1:6" hidden="1" x14ac:dyDescent="0.25">
      <c r="A4521" t="s">
        <v>658</v>
      </c>
      <c r="B4521" t="s">
        <v>365</v>
      </c>
      <c r="E4521" s="3">
        <f>HYPERLINK("https://sao.dolgi.msk.ru/account/1404247098/", 1404247098)</f>
        <v>1404247098</v>
      </c>
      <c r="F4521">
        <v>-3762.36</v>
      </c>
    </row>
    <row r="4522" spans="1:6" hidden="1" x14ac:dyDescent="0.25">
      <c r="A4522" t="s">
        <v>658</v>
      </c>
      <c r="B4522" t="s">
        <v>366</v>
      </c>
      <c r="E4522" s="3">
        <f>HYPERLINK("https://sao.dolgi.msk.ru/account/1404248699/", 1404248699)</f>
        <v>1404248699</v>
      </c>
      <c r="F4522">
        <v>-2864.91</v>
      </c>
    </row>
    <row r="4523" spans="1:6" hidden="1" x14ac:dyDescent="0.25">
      <c r="A4523" t="s">
        <v>658</v>
      </c>
      <c r="B4523" t="s">
        <v>367</v>
      </c>
      <c r="E4523" s="3">
        <f>HYPERLINK("https://sao.dolgi.msk.ru/account/1404248795/", 1404248795)</f>
        <v>1404248795</v>
      </c>
      <c r="F4523">
        <v>-825.84</v>
      </c>
    </row>
    <row r="4524" spans="1:6" hidden="1" x14ac:dyDescent="0.25">
      <c r="A4524" t="s">
        <v>658</v>
      </c>
      <c r="B4524" t="s">
        <v>368</v>
      </c>
      <c r="E4524" s="3">
        <f>HYPERLINK("https://sao.dolgi.msk.ru/account/1404251249/", 1404251249)</f>
        <v>1404251249</v>
      </c>
      <c r="F4524">
        <v>-412.92</v>
      </c>
    </row>
    <row r="4525" spans="1:6" x14ac:dyDescent="0.25">
      <c r="A4525" t="s">
        <v>658</v>
      </c>
      <c r="B4525" t="s">
        <v>369</v>
      </c>
      <c r="C4525" s="5" t="str">
        <f t="shared" ref="C4525:C4526" si="215">" кв. "&amp;B4525</f>
        <v xml:space="preserve"> кв. 368</v>
      </c>
      <c r="D4525" s="5" t="str">
        <f>CONCATENATE(A4525,C4525)</f>
        <v>Валдайский пр., дом 10 к.1 кв. 368</v>
      </c>
      <c r="E4525" s="3">
        <f>HYPERLINK("https://sao.dolgi.msk.ru/account/1404246925/", 1404246925)</f>
        <v>1404246925</v>
      </c>
      <c r="F4525">
        <v>2568.36</v>
      </c>
    </row>
    <row r="4526" spans="1:6" x14ac:dyDescent="0.25">
      <c r="A4526" t="s">
        <v>658</v>
      </c>
      <c r="B4526" t="s">
        <v>370</v>
      </c>
      <c r="C4526" s="5" t="str">
        <f t="shared" si="215"/>
        <v xml:space="preserve"> кв. 369</v>
      </c>
      <c r="D4526" s="5" t="str">
        <f>CONCATENATE(A4526,C4526)</f>
        <v>Валдайский пр., дом 10 к.1 кв. 369</v>
      </c>
      <c r="E4526" s="3">
        <f>HYPERLINK("https://sao.dolgi.msk.ru/account/1404249667/", 1404249667)</f>
        <v>1404249667</v>
      </c>
      <c r="F4526">
        <v>2337.46</v>
      </c>
    </row>
    <row r="4527" spans="1:6" hidden="1" x14ac:dyDescent="0.25">
      <c r="A4527" t="s">
        <v>658</v>
      </c>
      <c r="B4527" t="s">
        <v>371</v>
      </c>
      <c r="E4527" s="3">
        <f>HYPERLINK("https://sao.dolgi.msk.ru/account/1404251265/", 1404251265)</f>
        <v>1404251265</v>
      </c>
      <c r="F4527">
        <v>-836.04</v>
      </c>
    </row>
    <row r="4528" spans="1:6" hidden="1" x14ac:dyDescent="0.25">
      <c r="A4528" t="s">
        <v>658</v>
      </c>
      <c r="B4528" t="s">
        <v>372</v>
      </c>
      <c r="E4528" s="3">
        <f>HYPERLINK("https://sao.dolgi.msk.ru/account/1404247768/", 1404247768)</f>
        <v>1404247768</v>
      </c>
      <c r="F4528">
        <v>-2218.73</v>
      </c>
    </row>
    <row r="4529" spans="1:6" hidden="1" x14ac:dyDescent="0.25">
      <c r="A4529" t="s">
        <v>658</v>
      </c>
      <c r="B4529" t="s">
        <v>373</v>
      </c>
      <c r="E4529" s="3">
        <f>HYPERLINK("https://sao.dolgi.msk.ru/account/1404247493/", 1404247493)</f>
        <v>1404247493</v>
      </c>
      <c r="F4529">
        <v>-3790.1</v>
      </c>
    </row>
    <row r="4530" spans="1:6" hidden="1" x14ac:dyDescent="0.25">
      <c r="A4530" t="s">
        <v>658</v>
      </c>
      <c r="B4530" t="s">
        <v>374</v>
      </c>
      <c r="E4530" s="3">
        <f>HYPERLINK("https://sao.dolgi.msk.ru/account/1404249376/", 1404249376)</f>
        <v>1404249376</v>
      </c>
      <c r="F4530">
        <v>-837.52</v>
      </c>
    </row>
    <row r="4531" spans="1:6" hidden="1" x14ac:dyDescent="0.25">
      <c r="A4531" t="s">
        <v>658</v>
      </c>
      <c r="B4531" t="s">
        <v>375</v>
      </c>
      <c r="E4531" s="3">
        <f>HYPERLINK("https://sao.dolgi.msk.ru/account/1404249923/", 1404249923)</f>
        <v>1404249923</v>
      </c>
      <c r="F4531">
        <v>0</v>
      </c>
    </row>
    <row r="4532" spans="1:6" hidden="1" x14ac:dyDescent="0.25">
      <c r="A4532" t="s">
        <v>658</v>
      </c>
      <c r="B4532" t="s">
        <v>376</v>
      </c>
      <c r="E4532" s="3">
        <f>HYPERLINK("https://sao.dolgi.msk.ru/account/1404247039/", 1404247039)</f>
        <v>1404247039</v>
      </c>
      <c r="F4532">
        <v>-1319.59</v>
      </c>
    </row>
    <row r="4533" spans="1:6" x14ac:dyDescent="0.25">
      <c r="A4533" t="s">
        <v>658</v>
      </c>
      <c r="B4533" t="s">
        <v>377</v>
      </c>
      <c r="C4533" s="5" t="str">
        <f>" кв. "&amp;B4533</f>
        <v xml:space="preserve"> кв. 376</v>
      </c>
      <c r="D4533" s="5" t="str">
        <f>CONCATENATE(A4533,C4533)</f>
        <v>Валдайский пр., дом 10 к.1 кв. 376</v>
      </c>
      <c r="E4533" s="3">
        <f>HYPERLINK("https://sao.dolgi.msk.ru/account/1404249237/", 1404249237)</f>
        <v>1404249237</v>
      </c>
      <c r="F4533">
        <v>2615.8000000000002</v>
      </c>
    </row>
    <row r="4534" spans="1:6" hidden="1" x14ac:dyDescent="0.25">
      <c r="A4534" t="s">
        <v>658</v>
      </c>
      <c r="B4534" t="s">
        <v>378</v>
      </c>
      <c r="E4534" s="3">
        <f>HYPERLINK("https://sao.dolgi.msk.ru/account/1404251396/", 1404251396)</f>
        <v>1404251396</v>
      </c>
      <c r="F4534">
        <v>0</v>
      </c>
    </row>
    <row r="4535" spans="1:6" x14ac:dyDescent="0.25">
      <c r="A4535" t="s">
        <v>658</v>
      </c>
      <c r="B4535" t="s">
        <v>379</v>
      </c>
      <c r="C4535" s="5" t="str">
        <f t="shared" ref="C4535:C4536" si="216">" кв. "&amp;B4535</f>
        <v xml:space="preserve"> кв. 378</v>
      </c>
      <c r="D4535" s="5" t="str">
        <f>CONCATENATE(A4535,C4535)</f>
        <v>Валдайский пр., дом 10 к.1 кв. 378</v>
      </c>
      <c r="E4535" s="3">
        <f>HYPERLINK("https://sao.dolgi.msk.ru/account/1404246677/", 1404246677)</f>
        <v>1404246677</v>
      </c>
      <c r="F4535">
        <v>1809.24</v>
      </c>
    </row>
    <row r="4536" spans="1:6" x14ac:dyDescent="0.25">
      <c r="A4536" t="s">
        <v>658</v>
      </c>
      <c r="B4536" t="s">
        <v>380</v>
      </c>
      <c r="C4536" s="5" t="str">
        <f t="shared" si="216"/>
        <v xml:space="preserve"> кв. 379</v>
      </c>
      <c r="D4536" s="5" t="str">
        <f>CONCATENATE(A4536,C4536)</f>
        <v>Валдайский пр., дом 10 к.1 кв. 379</v>
      </c>
      <c r="E4536" s="3">
        <f>HYPERLINK("https://sao.dolgi.msk.ru/account/1404248349/", 1404248349)</f>
        <v>1404248349</v>
      </c>
      <c r="F4536">
        <v>1806.07</v>
      </c>
    </row>
    <row r="4537" spans="1:6" hidden="1" x14ac:dyDescent="0.25">
      <c r="A4537" t="s">
        <v>658</v>
      </c>
      <c r="B4537" t="s">
        <v>381</v>
      </c>
      <c r="E4537" s="3">
        <f>HYPERLINK("https://sao.dolgi.msk.ru/account/1404251599/", 1404251599)</f>
        <v>1404251599</v>
      </c>
      <c r="F4537">
        <v>0</v>
      </c>
    </row>
    <row r="4538" spans="1:6" hidden="1" x14ac:dyDescent="0.25">
      <c r="A4538" t="s">
        <v>658</v>
      </c>
      <c r="B4538" t="s">
        <v>382</v>
      </c>
      <c r="E4538" s="3">
        <f>HYPERLINK("https://sao.dolgi.msk.ru/account/1404248656/", 1404248656)</f>
        <v>1404248656</v>
      </c>
      <c r="F4538">
        <v>-3429.57</v>
      </c>
    </row>
    <row r="4539" spans="1:6" x14ac:dyDescent="0.25">
      <c r="A4539" t="s">
        <v>658</v>
      </c>
      <c r="B4539" t="s">
        <v>383</v>
      </c>
      <c r="C4539" s="5" t="str">
        <f>" кв. "&amp;B4539</f>
        <v xml:space="preserve"> кв. 382</v>
      </c>
      <c r="D4539" s="5" t="str">
        <f>CONCATENATE(A4539,C4539)</f>
        <v>Валдайский пр., дом 10 к.1 кв. 382</v>
      </c>
      <c r="E4539" s="3">
        <f>HYPERLINK("https://sao.dolgi.msk.ru/account/1404246909/", 1404246909)</f>
        <v>1404246909</v>
      </c>
      <c r="F4539">
        <v>1812.4</v>
      </c>
    </row>
    <row r="4540" spans="1:6" hidden="1" x14ac:dyDescent="0.25">
      <c r="A4540" t="s">
        <v>658</v>
      </c>
      <c r="B4540" t="s">
        <v>384</v>
      </c>
      <c r="E4540" s="3">
        <f>HYPERLINK("https://sao.dolgi.msk.ru/account/1404246968/", 1404246968)</f>
        <v>1404246968</v>
      </c>
      <c r="F4540">
        <v>-592.38</v>
      </c>
    </row>
    <row r="4541" spans="1:6" x14ac:dyDescent="0.25">
      <c r="A4541" t="s">
        <v>658</v>
      </c>
      <c r="B4541" t="s">
        <v>385</v>
      </c>
      <c r="C4541" s="5" t="str">
        <f>" кв. "&amp;B4541</f>
        <v xml:space="preserve"> кв. 384</v>
      </c>
      <c r="D4541" s="5" t="str">
        <f>CONCATENATE(A4541,C4541)</f>
        <v>Валдайский пр., дом 10 к.1 кв. 384</v>
      </c>
      <c r="E4541" s="3">
        <f>HYPERLINK("https://sao.dolgi.msk.ru/account/1404246685/", 1404246685)</f>
        <v>1404246685</v>
      </c>
      <c r="F4541">
        <v>2606.31</v>
      </c>
    </row>
    <row r="4542" spans="1:6" hidden="1" x14ac:dyDescent="0.25">
      <c r="A4542" t="s">
        <v>658</v>
      </c>
      <c r="B4542" t="s">
        <v>386</v>
      </c>
      <c r="E4542" s="3">
        <f>HYPERLINK("https://sao.dolgi.msk.ru/account/1404248234/", 1404248234)</f>
        <v>1404248234</v>
      </c>
      <c r="F4542">
        <v>-3438.81</v>
      </c>
    </row>
    <row r="4543" spans="1:6" x14ac:dyDescent="0.25">
      <c r="A4543" t="s">
        <v>658</v>
      </c>
      <c r="B4543" t="s">
        <v>387</v>
      </c>
      <c r="C4543" s="5" t="str">
        <f t="shared" ref="C4543:C4544" si="217">" кв. "&amp;B4543</f>
        <v xml:space="preserve"> кв. 386</v>
      </c>
      <c r="D4543" s="5" t="str">
        <f>CONCATENATE(A4543,C4543)</f>
        <v>Валдайский пр., дом 10 к.1 кв. 386</v>
      </c>
      <c r="E4543" s="3">
        <f>HYPERLINK("https://sao.dolgi.msk.ru/account/1404247442/", 1404247442)</f>
        <v>1404247442</v>
      </c>
      <c r="F4543">
        <v>1287.3399999999999</v>
      </c>
    </row>
    <row r="4544" spans="1:6" x14ac:dyDescent="0.25">
      <c r="A4544" t="s">
        <v>658</v>
      </c>
      <c r="B4544" t="s">
        <v>388</v>
      </c>
      <c r="C4544" s="5" t="str">
        <f t="shared" si="217"/>
        <v xml:space="preserve"> кв. 387</v>
      </c>
      <c r="D4544" s="5" t="str">
        <f>CONCATENATE(A4544,C4544)</f>
        <v>Валдайский пр., дом 10 к.1 кв. 387</v>
      </c>
      <c r="E4544" s="3">
        <f>HYPERLINK("https://sao.dolgi.msk.ru/account/1404247979/", 1404247979)</f>
        <v>1404247979</v>
      </c>
      <c r="F4544">
        <v>1277.8499999999999</v>
      </c>
    </row>
    <row r="4545" spans="1:6" hidden="1" x14ac:dyDescent="0.25">
      <c r="A4545" t="s">
        <v>658</v>
      </c>
      <c r="B4545" t="s">
        <v>389</v>
      </c>
      <c r="E4545" s="3">
        <f>HYPERLINK("https://sao.dolgi.msk.ru/account/1404246116/", 1404246116)</f>
        <v>1404246116</v>
      </c>
      <c r="F4545">
        <v>-1203.74</v>
      </c>
    </row>
    <row r="4546" spans="1:6" x14ac:dyDescent="0.25">
      <c r="A4546" t="s">
        <v>658</v>
      </c>
      <c r="B4546" t="s">
        <v>390</v>
      </c>
      <c r="C4546" s="5" t="str">
        <f>" кв. "&amp;B4546</f>
        <v xml:space="preserve"> кв. 389</v>
      </c>
      <c r="D4546" s="5" t="str">
        <f>CONCATENATE(A4546,C4546)</f>
        <v>Валдайский пр., дом 10 к.1 кв. 389</v>
      </c>
      <c r="E4546" s="3">
        <f>HYPERLINK("https://sao.dolgi.msk.ru/account/1404246271/", 1404246271)</f>
        <v>1404246271</v>
      </c>
      <c r="F4546">
        <v>1685.88</v>
      </c>
    </row>
    <row r="4547" spans="1:6" hidden="1" x14ac:dyDescent="0.25">
      <c r="A4547" t="s">
        <v>658</v>
      </c>
      <c r="B4547" t="s">
        <v>391</v>
      </c>
      <c r="E4547" s="3">
        <f>HYPERLINK("https://sao.dolgi.msk.ru/account/1404249958/", 1404249958)</f>
        <v>1404249958</v>
      </c>
      <c r="F4547">
        <v>-834.58</v>
      </c>
    </row>
    <row r="4548" spans="1:6" hidden="1" x14ac:dyDescent="0.25">
      <c r="A4548" t="s">
        <v>658</v>
      </c>
      <c r="B4548" t="s">
        <v>392</v>
      </c>
      <c r="E4548" s="3">
        <f>HYPERLINK("https://sao.dolgi.msk.ru/account/1404246431/", 1404246431)</f>
        <v>1404246431</v>
      </c>
      <c r="F4548">
        <v>-1700.73</v>
      </c>
    </row>
    <row r="4549" spans="1:6" x14ac:dyDescent="0.25">
      <c r="A4549" t="s">
        <v>658</v>
      </c>
      <c r="B4549" t="s">
        <v>393</v>
      </c>
      <c r="C4549" s="5" t="str">
        <f>" кв. "&amp;B4549</f>
        <v xml:space="preserve"> кв. 392</v>
      </c>
      <c r="D4549" s="5" t="str">
        <f>CONCATENATE(A4549,C4549)</f>
        <v>Валдайский пр., дом 10 к.1 кв. 392</v>
      </c>
      <c r="E4549" s="3">
        <f>HYPERLINK("https://sao.dolgi.msk.ru/account/1404246343/", 1404246343)</f>
        <v>1404246343</v>
      </c>
      <c r="F4549">
        <v>1470.8</v>
      </c>
    </row>
    <row r="4550" spans="1:6" hidden="1" x14ac:dyDescent="0.25">
      <c r="A4550" t="s">
        <v>658</v>
      </c>
      <c r="B4550" t="s">
        <v>394</v>
      </c>
      <c r="E4550" s="3">
        <f>HYPERLINK("https://sao.dolgi.msk.ru/account/1404249595/", 1404249595)</f>
        <v>1404249595</v>
      </c>
      <c r="F4550">
        <v>-3434.19</v>
      </c>
    </row>
    <row r="4551" spans="1:6" hidden="1" x14ac:dyDescent="0.25">
      <c r="A4551" t="s">
        <v>658</v>
      </c>
      <c r="B4551" t="s">
        <v>395</v>
      </c>
      <c r="E4551" s="3">
        <f>HYPERLINK("https://sao.dolgi.msk.ru/account/1404249245/", 1404249245)</f>
        <v>1404249245</v>
      </c>
      <c r="F4551">
        <v>-2620.7199999999998</v>
      </c>
    </row>
    <row r="4552" spans="1:6" hidden="1" x14ac:dyDescent="0.25">
      <c r="A4552" t="s">
        <v>658</v>
      </c>
      <c r="B4552" t="s">
        <v>396</v>
      </c>
      <c r="E4552" s="3">
        <f>HYPERLINK("https://sao.dolgi.msk.ru/account/1404250043/", 1404250043)</f>
        <v>1404250043</v>
      </c>
      <c r="F4552">
        <v>-3168.52</v>
      </c>
    </row>
    <row r="4553" spans="1:6" hidden="1" x14ac:dyDescent="0.25">
      <c r="A4553" t="s">
        <v>658</v>
      </c>
      <c r="B4553" t="s">
        <v>397</v>
      </c>
      <c r="E4553" s="3">
        <f>HYPERLINK("https://sao.dolgi.msk.ru/account/1404246546/", 1404246546)</f>
        <v>1404246546</v>
      </c>
      <c r="F4553">
        <v>-3808.59</v>
      </c>
    </row>
    <row r="4554" spans="1:6" hidden="1" x14ac:dyDescent="0.25">
      <c r="A4554" t="s">
        <v>658</v>
      </c>
      <c r="B4554" t="s">
        <v>398</v>
      </c>
      <c r="E4554" s="3">
        <f>HYPERLINK("https://sao.dolgi.msk.ru/account/1404249149/", 1404249149)</f>
        <v>1404249149</v>
      </c>
      <c r="F4554">
        <v>-1082.6199999999999</v>
      </c>
    </row>
    <row r="4555" spans="1:6" x14ac:dyDescent="0.25">
      <c r="A4555" t="s">
        <v>658</v>
      </c>
      <c r="B4555" t="s">
        <v>399</v>
      </c>
      <c r="C4555" s="5" t="str">
        <f>" кв. "&amp;B4555</f>
        <v xml:space="preserve"> кв. 398</v>
      </c>
      <c r="D4555" s="5" t="str">
        <f>CONCATENATE(A4555,C4555)</f>
        <v>Валдайский пр., дом 10 к.1 кв. 398</v>
      </c>
      <c r="E4555" s="3">
        <f>HYPERLINK("https://sao.dolgi.msk.ru/account/1404249931/", 1404249931)</f>
        <v>1404249931</v>
      </c>
      <c r="F4555">
        <v>1812.4</v>
      </c>
    </row>
    <row r="4556" spans="1:6" hidden="1" x14ac:dyDescent="0.25">
      <c r="A4556" t="s">
        <v>658</v>
      </c>
      <c r="B4556" t="s">
        <v>400</v>
      </c>
      <c r="E4556" s="3">
        <f>HYPERLINK("https://sao.dolgi.msk.ru/account/1404246191/", 1404246191)</f>
        <v>1404246191</v>
      </c>
      <c r="F4556">
        <v>-525.26</v>
      </c>
    </row>
    <row r="4557" spans="1:6" hidden="1" x14ac:dyDescent="0.25">
      <c r="A4557" t="s">
        <v>658</v>
      </c>
      <c r="B4557" t="s">
        <v>401</v>
      </c>
      <c r="E4557" s="3">
        <f>HYPERLINK("https://sao.dolgi.msk.ru/account/1404250676/", 1404250676)</f>
        <v>1404250676</v>
      </c>
      <c r="F4557">
        <v>0</v>
      </c>
    </row>
    <row r="4558" spans="1:6" hidden="1" x14ac:dyDescent="0.25">
      <c r="A4558" t="s">
        <v>658</v>
      </c>
      <c r="B4558" t="s">
        <v>402</v>
      </c>
      <c r="E4558" s="3">
        <f>HYPERLINK("https://sao.dolgi.msk.ru/account/1404251388/", 1404251388)</f>
        <v>1404251388</v>
      </c>
      <c r="F4558">
        <v>-2829.86</v>
      </c>
    </row>
    <row r="4559" spans="1:6" hidden="1" x14ac:dyDescent="0.25">
      <c r="A4559" t="s">
        <v>658</v>
      </c>
      <c r="B4559" t="s">
        <v>403</v>
      </c>
      <c r="E4559" s="3">
        <f>HYPERLINK("https://sao.dolgi.msk.ru/account/1404247178/", 1404247178)</f>
        <v>1404247178</v>
      </c>
      <c r="F4559">
        <v>-2234.3000000000002</v>
      </c>
    </row>
    <row r="4560" spans="1:6" hidden="1" x14ac:dyDescent="0.25">
      <c r="A4560" t="s">
        <v>658</v>
      </c>
      <c r="B4560" t="s">
        <v>404</v>
      </c>
      <c r="E4560" s="3">
        <f>HYPERLINK("https://sao.dolgi.msk.ru/account/1404251353/", 1404251353)</f>
        <v>1404251353</v>
      </c>
      <c r="F4560">
        <v>-2653.06</v>
      </c>
    </row>
    <row r="4561" spans="1:6" x14ac:dyDescent="0.25">
      <c r="A4561" t="s">
        <v>658</v>
      </c>
      <c r="B4561" t="s">
        <v>405</v>
      </c>
      <c r="C4561" s="5" t="str">
        <f>" кв. "&amp;B4561</f>
        <v xml:space="preserve"> кв. 404</v>
      </c>
      <c r="D4561" s="5" t="str">
        <f>CONCATENATE(A4561,C4561)</f>
        <v>Валдайский пр., дом 10 к.1 кв. 404</v>
      </c>
      <c r="E4561" s="3">
        <f>HYPERLINK("https://sao.dolgi.msk.ru/account/1404248824/", 1404248824)</f>
        <v>1404248824</v>
      </c>
      <c r="F4561">
        <v>2615.8000000000002</v>
      </c>
    </row>
    <row r="4562" spans="1:6" hidden="1" x14ac:dyDescent="0.25">
      <c r="A4562" t="s">
        <v>658</v>
      </c>
      <c r="B4562" t="s">
        <v>406</v>
      </c>
      <c r="E4562" s="3">
        <f>HYPERLINK("https://sao.dolgi.msk.ru/account/1404251169/", 1404251169)</f>
        <v>1404251169</v>
      </c>
      <c r="F4562">
        <v>0</v>
      </c>
    </row>
    <row r="4563" spans="1:6" hidden="1" x14ac:dyDescent="0.25">
      <c r="A4563" t="s">
        <v>658</v>
      </c>
      <c r="B4563" t="s">
        <v>407</v>
      </c>
      <c r="E4563" s="3">
        <f>HYPERLINK("https://sao.dolgi.msk.ru/account/1404249632/", 1404249632)</f>
        <v>1404249632</v>
      </c>
      <c r="F4563">
        <v>-2648.44</v>
      </c>
    </row>
    <row r="4564" spans="1:6" hidden="1" x14ac:dyDescent="0.25">
      <c r="A4564" t="s">
        <v>658</v>
      </c>
      <c r="B4564" t="s">
        <v>408</v>
      </c>
      <c r="E4564" s="3">
        <f>HYPERLINK("https://sao.dolgi.msk.ru/account/1404247784/", 1404247784)</f>
        <v>1404247784</v>
      </c>
      <c r="F4564">
        <v>-837.5</v>
      </c>
    </row>
    <row r="4565" spans="1:6" x14ac:dyDescent="0.25">
      <c r="A4565" t="s">
        <v>658</v>
      </c>
      <c r="B4565" t="s">
        <v>409</v>
      </c>
      <c r="C4565" s="5" t="str">
        <f>" кв. "&amp;B4565</f>
        <v xml:space="preserve"> кв. 408</v>
      </c>
      <c r="D4565" s="5" t="str">
        <f>CONCATENATE(A4565,C4565)</f>
        <v>Валдайский пр., дом 10 к.1 кв. 408</v>
      </c>
      <c r="E4565" s="3">
        <f>HYPERLINK("https://sao.dolgi.msk.ru/account/1404247637/", 1404247637)</f>
        <v>1404247637</v>
      </c>
      <c r="F4565">
        <v>2615.8000000000002</v>
      </c>
    </row>
    <row r="4566" spans="1:6" hidden="1" x14ac:dyDescent="0.25">
      <c r="A4566" t="s">
        <v>658</v>
      </c>
      <c r="B4566" t="s">
        <v>410</v>
      </c>
      <c r="E4566" s="3">
        <f>HYPERLINK("https://sao.dolgi.msk.ru/account/1404250182/", 1404250182)</f>
        <v>1404250182</v>
      </c>
      <c r="F4566">
        <v>-2685.42</v>
      </c>
    </row>
    <row r="4567" spans="1:6" hidden="1" x14ac:dyDescent="0.25">
      <c r="A4567" t="s">
        <v>658</v>
      </c>
      <c r="B4567" t="s">
        <v>411</v>
      </c>
      <c r="E4567" s="3">
        <f>HYPERLINK("https://sao.dolgi.msk.ru/account/1404246255/", 1404246255)</f>
        <v>1404246255</v>
      </c>
      <c r="F4567">
        <v>-586.55999999999995</v>
      </c>
    </row>
    <row r="4568" spans="1:6" x14ac:dyDescent="0.25">
      <c r="A4568" t="s">
        <v>658</v>
      </c>
      <c r="B4568" t="s">
        <v>429</v>
      </c>
      <c r="C4568" s="5" t="str">
        <f t="shared" ref="C4568:C4569" si="218">" кв. "&amp;B4568</f>
        <v xml:space="preserve"> кв. 411</v>
      </c>
      <c r="D4568" s="5" t="str">
        <f>CONCATENATE(A4568,C4568)</f>
        <v>Валдайский пр., дом 10 к.1 кв. 411</v>
      </c>
      <c r="E4568" s="3">
        <f>HYPERLINK("https://sao.dolgi.msk.ru/account/1404250908/", 1404250908)</f>
        <v>1404250908</v>
      </c>
      <c r="F4568">
        <v>907.78</v>
      </c>
    </row>
    <row r="4569" spans="1:6" x14ac:dyDescent="0.25">
      <c r="A4569" t="s">
        <v>658</v>
      </c>
      <c r="B4569" t="s">
        <v>430</v>
      </c>
      <c r="C4569" s="5" t="str">
        <f t="shared" si="218"/>
        <v xml:space="preserve"> кв. 412</v>
      </c>
      <c r="D4569" s="5" t="str">
        <f>CONCATENATE(A4569,C4569)</f>
        <v>Валдайский пр., дом 10 к.1 кв. 412</v>
      </c>
      <c r="E4569" s="3">
        <f>HYPERLINK("https://sao.dolgi.msk.ru/account/1404248592/", 1404248592)</f>
        <v>1404248592</v>
      </c>
      <c r="F4569">
        <v>2606.31</v>
      </c>
    </row>
    <row r="4570" spans="1:6" hidden="1" x14ac:dyDescent="0.25">
      <c r="A4570" t="s">
        <v>658</v>
      </c>
      <c r="B4570" t="s">
        <v>431</v>
      </c>
      <c r="E4570" s="3">
        <f>HYPERLINK("https://sao.dolgi.msk.ru/account/1404250625/", 1404250625)</f>
        <v>1404250625</v>
      </c>
      <c r="F4570">
        <v>-3443.44</v>
      </c>
    </row>
    <row r="4571" spans="1:6" hidden="1" x14ac:dyDescent="0.25">
      <c r="A4571" t="s">
        <v>658</v>
      </c>
      <c r="B4571" t="s">
        <v>432</v>
      </c>
      <c r="E4571" s="3">
        <f>HYPERLINK("https://sao.dolgi.msk.ru/account/1404250529/", 1404250529)</f>
        <v>1404250529</v>
      </c>
      <c r="F4571">
        <v>-2643.82</v>
      </c>
    </row>
    <row r="4572" spans="1:6" hidden="1" x14ac:dyDescent="0.25">
      <c r="A4572" t="s">
        <v>658</v>
      </c>
      <c r="B4572" t="s">
        <v>433</v>
      </c>
      <c r="E4572" s="3">
        <f>HYPERLINK("https://sao.dolgi.msk.ru/account/1404251329/", 1404251329)</f>
        <v>1404251329</v>
      </c>
      <c r="F4572">
        <v>-2662.31</v>
      </c>
    </row>
    <row r="4573" spans="1:6" x14ac:dyDescent="0.25">
      <c r="A4573" t="s">
        <v>658</v>
      </c>
      <c r="B4573" t="s">
        <v>434</v>
      </c>
      <c r="C4573" s="5" t="str">
        <f t="shared" ref="C4573:C4574" si="219">" кв. "&amp;B4573</f>
        <v xml:space="preserve"> кв. 416</v>
      </c>
      <c r="D4573" s="5" t="str">
        <f>CONCATENATE(A4573,C4573)</f>
        <v>Валдайский пр., дом 10 к.1 кв. 416</v>
      </c>
      <c r="E4573" s="3">
        <f>HYPERLINK("https://sao.dolgi.msk.ru/account/1404250975/", 1404250975)</f>
        <v>1404250975</v>
      </c>
      <c r="F4573">
        <v>2078.09</v>
      </c>
    </row>
    <row r="4574" spans="1:6" x14ac:dyDescent="0.25">
      <c r="A4574" t="s">
        <v>658</v>
      </c>
      <c r="B4574" t="s">
        <v>435</v>
      </c>
      <c r="C4574" s="5" t="str">
        <f t="shared" si="219"/>
        <v xml:space="preserve"> кв. 417</v>
      </c>
      <c r="D4574" s="5" t="str">
        <f>CONCATENATE(A4574,C4574)</f>
        <v>Валдайский пр., дом 10 к.1 кв. 417</v>
      </c>
      <c r="E4574" s="3">
        <f>HYPERLINK("https://sao.dolgi.msk.ru/account/1404246175/", 1404246175)</f>
        <v>1404246175</v>
      </c>
      <c r="F4574">
        <v>2359.6</v>
      </c>
    </row>
    <row r="4575" spans="1:6" hidden="1" x14ac:dyDescent="0.25">
      <c r="A4575" t="s">
        <v>658</v>
      </c>
      <c r="B4575" t="s">
        <v>436</v>
      </c>
      <c r="E4575" s="3">
        <f>HYPERLINK("https://sao.dolgi.msk.ru/account/1404249448/", 1404249448)</f>
        <v>1404249448</v>
      </c>
      <c r="F4575">
        <v>-2643.82</v>
      </c>
    </row>
    <row r="4576" spans="1:6" hidden="1" x14ac:dyDescent="0.25">
      <c r="A4576" t="s">
        <v>658</v>
      </c>
      <c r="B4576" t="s">
        <v>437</v>
      </c>
      <c r="E4576" s="3">
        <f>HYPERLINK("https://sao.dolgi.msk.ru/account/1404250684/", 1404250684)</f>
        <v>1404250684</v>
      </c>
      <c r="F4576">
        <v>-2648.44</v>
      </c>
    </row>
    <row r="4577" spans="1:6" hidden="1" x14ac:dyDescent="0.25">
      <c r="A4577" t="s">
        <v>658</v>
      </c>
      <c r="B4577" t="s">
        <v>438</v>
      </c>
      <c r="E4577" s="3">
        <f>HYPERLINK("https://sao.dolgi.msk.ru/account/1404251492/", 1404251492)</f>
        <v>1404251492</v>
      </c>
      <c r="F4577">
        <v>-3813.22</v>
      </c>
    </row>
    <row r="4578" spans="1:6" hidden="1" x14ac:dyDescent="0.25">
      <c r="A4578" t="s">
        <v>658</v>
      </c>
      <c r="B4578" t="s">
        <v>439</v>
      </c>
      <c r="E4578" s="3">
        <f>HYPERLINK("https://sao.dolgi.msk.ru/account/1404246167/", 1404246167)</f>
        <v>1404246167</v>
      </c>
      <c r="F4578">
        <v>0</v>
      </c>
    </row>
    <row r="4579" spans="1:6" hidden="1" x14ac:dyDescent="0.25">
      <c r="A4579" t="s">
        <v>658</v>
      </c>
      <c r="B4579" t="s">
        <v>440</v>
      </c>
      <c r="E4579" s="3">
        <f>HYPERLINK("https://sao.dolgi.msk.ru/account/1404248947/", 1404248947)</f>
        <v>1404248947</v>
      </c>
      <c r="F4579">
        <v>0</v>
      </c>
    </row>
    <row r="4580" spans="1:6" hidden="1" x14ac:dyDescent="0.25">
      <c r="A4580" t="s">
        <v>658</v>
      </c>
      <c r="B4580" t="s">
        <v>441</v>
      </c>
      <c r="E4580" s="3">
        <f>HYPERLINK("https://sao.dolgi.msk.ru/account/1404251177/", 1404251177)</f>
        <v>1404251177</v>
      </c>
      <c r="F4580">
        <v>-2653.06</v>
      </c>
    </row>
    <row r="4581" spans="1:6" x14ac:dyDescent="0.25">
      <c r="A4581" t="s">
        <v>658</v>
      </c>
      <c r="B4581" t="s">
        <v>442</v>
      </c>
      <c r="C4581" s="5" t="str">
        <f t="shared" ref="C4581:C4582" si="220">" кв. "&amp;B4581</f>
        <v xml:space="preserve"> кв. 424</v>
      </c>
      <c r="D4581" s="5" t="str">
        <f>CONCATENATE(A4581,C4581)</f>
        <v>Валдайский пр., дом 10 к.1 кв. 424</v>
      </c>
      <c r="E4581" s="3">
        <f>HYPERLINK("https://sao.dolgi.msk.ru/account/1404246749/", 1404246749)</f>
        <v>1404246749</v>
      </c>
      <c r="F4581">
        <v>2603.15</v>
      </c>
    </row>
    <row r="4582" spans="1:6" x14ac:dyDescent="0.25">
      <c r="A4582" t="s">
        <v>658</v>
      </c>
      <c r="B4582" t="s">
        <v>443</v>
      </c>
      <c r="C4582" s="5" t="str">
        <f t="shared" si="220"/>
        <v xml:space="preserve"> кв. 425</v>
      </c>
      <c r="D4582" s="5" t="str">
        <f>CONCATENATE(A4582,C4582)</f>
        <v>Валдайский пр., дом 10 к.1 кв. 425</v>
      </c>
      <c r="E4582" s="3">
        <f>HYPERLINK("https://sao.dolgi.msk.ru/account/1404247987/", 1404247987)</f>
        <v>1404247987</v>
      </c>
      <c r="F4582">
        <v>1682.72</v>
      </c>
    </row>
    <row r="4583" spans="1:6" hidden="1" x14ac:dyDescent="0.25">
      <c r="A4583" t="s">
        <v>658</v>
      </c>
      <c r="B4583" t="s">
        <v>444</v>
      </c>
      <c r="E4583" s="3">
        <f>HYPERLINK("https://sao.dolgi.msk.ru/account/1404246554/", 1404246554)</f>
        <v>1404246554</v>
      </c>
      <c r="F4583">
        <v>-838.96</v>
      </c>
    </row>
    <row r="4584" spans="1:6" hidden="1" x14ac:dyDescent="0.25">
      <c r="A4584" t="s">
        <v>658</v>
      </c>
      <c r="B4584" t="s">
        <v>445</v>
      </c>
      <c r="E4584" s="3">
        <f>HYPERLINK("https://sao.dolgi.msk.ru/account/1404248744/", 1404248744)</f>
        <v>1404248744</v>
      </c>
      <c r="F4584">
        <v>0</v>
      </c>
    </row>
    <row r="4585" spans="1:6" x14ac:dyDescent="0.25">
      <c r="A4585" t="s">
        <v>658</v>
      </c>
      <c r="B4585" t="s">
        <v>446</v>
      </c>
      <c r="C4585" s="5" t="str">
        <f>" кв. "&amp;B4585</f>
        <v xml:space="preserve"> кв. 428</v>
      </c>
      <c r="D4585" s="5" t="str">
        <f>CONCATENATE(A4585,C4585)</f>
        <v>Валдайский пр., дом 10 к.1 кв. 428</v>
      </c>
      <c r="E4585" s="3">
        <f>HYPERLINK("https://sao.dolgi.msk.ru/account/1404246992/", 1404246992)</f>
        <v>1404246992</v>
      </c>
      <c r="F4585">
        <v>1301.57</v>
      </c>
    </row>
    <row r="4586" spans="1:6" hidden="1" x14ac:dyDescent="0.25">
      <c r="A4586" t="s">
        <v>658</v>
      </c>
      <c r="B4586" t="s">
        <v>446</v>
      </c>
      <c r="E4586" s="3">
        <f>HYPERLINK("https://sao.dolgi.msk.ru/account/1404247995/", 1404247995)</f>
        <v>1404247995</v>
      </c>
      <c r="F4586">
        <v>-1601.77</v>
      </c>
    </row>
    <row r="4587" spans="1:6" x14ac:dyDescent="0.25">
      <c r="A4587" t="s">
        <v>658</v>
      </c>
      <c r="B4587" t="s">
        <v>447</v>
      </c>
      <c r="C4587" s="5" t="str">
        <f>" кв. "&amp;B4587</f>
        <v xml:space="preserve"> кв. 429</v>
      </c>
      <c r="D4587" s="5" t="str">
        <f>CONCATENATE(A4587,C4587)</f>
        <v>Валдайский пр., дом 10 к.1 кв. 429</v>
      </c>
      <c r="E4587" s="3">
        <f>HYPERLINK("https://sao.dolgi.msk.ru/account/1404249704/", 1404249704)</f>
        <v>1404249704</v>
      </c>
      <c r="F4587">
        <v>2346.9499999999998</v>
      </c>
    </row>
    <row r="4588" spans="1:6" hidden="1" x14ac:dyDescent="0.25">
      <c r="A4588" t="s">
        <v>658</v>
      </c>
      <c r="B4588" t="s">
        <v>448</v>
      </c>
      <c r="E4588" s="3">
        <f>HYPERLINK("https://sao.dolgi.msk.ru/account/1404247688/", 1404247688)</f>
        <v>1404247688</v>
      </c>
      <c r="F4588">
        <v>-627.02</v>
      </c>
    </row>
    <row r="4589" spans="1:6" hidden="1" x14ac:dyDescent="0.25">
      <c r="A4589" t="s">
        <v>658</v>
      </c>
      <c r="B4589" t="s">
        <v>449</v>
      </c>
      <c r="E4589" s="3">
        <f>HYPERLINK("https://sao.dolgi.msk.ru/account/1404246765/", 1404246765)</f>
        <v>1404246765</v>
      </c>
      <c r="F4589">
        <v>-1326.54</v>
      </c>
    </row>
    <row r="4590" spans="1:6" hidden="1" x14ac:dyDescent="0.25">
      <c r="A4590" t="s">
        <v>658</v>
      </c>
      <c r="B4590" t="s">
        <v>449</v>
      </c>
      <c r="E4590" s="3">
        <f>HYPERLINK("https://sao.dolgi.msk.ru/account/1404248103/", 1404248103)</f>
        <v>1404248103</v>
      </c>
      <c r="F4590">
        <v>0</v>
      </c>
    </row>
    <row r="4591" spans="1:6" hidden="1" x14ac:dyDescent="0.25">
      <c r="A4591" t="s">
        <v>658</v>
      </c>
      <c r="B4591" t="s">
        <v>450</v>
      </c>
      <c r="E4591" s="3">
        <f>HYPERLINK("https://sao.dolgi.msk.ru/account/1404248613/", 1404248613)</f>
        <v>1404248613</v>
      </c>
      <c r="F4591">
        <v>-3032.08</v>
      </c>
    </row>
    <row r="4592" spans="1:6" x14ac:dyDescent="0.25">
      <c r="A4592" t="s">
        <v>658</v>
      </c>
      <c r="B4592" t="s">
        <v>451</v>
      </c>
      <c r="C4592" s="5" t="str">
        <f>" кв. "&amp;B4592</f>
        <v xml:space="preserve"> кв. 433</v>
      </c>
      <c r="D4592" s="5" t="str">
        <f>CONCATENATE(A4592,C4592)</f>
        <v>Валдайский пр., дом 10 к.1 кв. 433</v>
      </c>
      <c r="E4592" s="3">
        <f>HYPERLINK("https://sao.dolgi.msk.ru/account/1404247653/", 1404247653)</f>
        <v>1404247653</v>
      </c>
      <c r="F4592">
        <v>2340.62</v>
      </c>
    </row>
    <row r="4593" spans="1:6" hidden="1" x14ac:dyDescent="0.25">
      <c r="A4593" t="s">
        <v>658</v>
      </c>
      <c r="B4593" t="s">
        <v>452</v>
      </c>
      <c r="E4593" s="3">
        <f>HYPERLINK("https://sao.dolgi.msk.ru/account/1404246773/", 1404246773)</f>
        <v>1404246773</v>
      </c>
      <c r="F4593">
        <v>-628.12</v>
      </c>
    </row>
    <row r="4594" spans="1:6" x14ac:dyDescent="0.25">
      <c r="A4594" t="s">
        <v>658</v>
      </c>
      <c r="B4594" t="s">
        <v>453</v>
      </c>
      <c r="C4594" s="5" t="str">
        <f>" кв. "&amp;B4594</f>
        <v xml:space="preserve"> кв. 435</v>
      </c>
      <c r="D4594" s="5" t="str">
        <f>CONCATENATE(A4594,C4594)</f>
        <v>Валдайский пр., дом 10 к.1 кв. 435</v>
      </c>
      <c r="E4594" s="3">
        <f>HYPERLINK("https://sao.dolgi.msk.ru/account/1404250254/", 1404250254)</f>
        <v>1404250254</v>
      </c>
      <c r="F4594">
        <v>1818.72</v>
      </c>
    </row>
    <row r="4595" spans="1:6" hidden="1" x14ac:dyDescent="0.25">
      <c r="A4595" t="s">
        <v>658</v>
      </c>
      <c r="B4595" t="s">
        <v>454</v>
      </c>
      <c r="E4595" s="3">
        <f>HYPERLINK("https://sao.dolgi.msk.ru/account/1404248031/", 1404248031)</f>
        <v>1404248031</v>
      </c>
      <c r="F4595">
        <v>-3831.69</v>
      </c>
    </row>
    <row r="4596" spans="1:6" hidden="1" x14ac:dyDescent="0.25">
      <c r="A4596" t="s">
        <v>658</v>
      </c>
      <c r="B4596" t="s">
        <v>455</v>
      </c>
      <c r="E4596" s="3">
        <f>HYPERLINK("https://sao.dolgi.msk.ru/account/1404247856/", 1404247856)</f>
        <v>1404247856</v>
      </c>
      <c r="F4596">
        <v>-3415.72</v>
      </c>
    </row>
    <row r="4597" spans="1:6" hidden="1" x14ac:dyDescent="0.25">
      <c r="A4597" t="s">
        <v>658</v>
      </c>
      <c r="B4597" t="s">
        <v>456</v>
      </c>
      <c r="E4597" s="3">
        <f>HYPERLINK("https://sao.dolgi.msk.ru/account/1404249309/", 1404249309)</f>
        <v>1404249309</v>
      </c>
      <c r="F4597">
        <v>-2639.19</v>
      </c>
    </row>
    <row r="4598" spans="1:6" x14ac:dyDescent="0.25">
      <c r="A4598" t="s">
        <v>658</v>
      </c>
      <c r="B4598" t="s">
        <v>457</v>
      </c>
      <c r="C4598" s="5" t="str">
        <f>" кв. "&amp;B4598</f>
        <v xml:space="preserve"> кв. 439</v>
      </c>
      <c r="D4598" s="5" t="str">
        <f>CONCATENATE(A4598,C4598)</f>
        <v>Валдайский пр., дом 10 к.1 кв. 439</v>
      </c>
      <c r="E4598" s="3">
        <f>HYPERLINK("https://sao.dolgi.msk.ru/account/1404247127/", 1404247127)</f>
        <v>1404247127</v>
      </c>
      <c r="F4598">
        <v>1809.24</v>
      </c>
    </row>
    <row r="4599" spans="1:6" hidden="1" x14ac:dyDescent="0.25">
      <c r="A4599" t="s">
        <v>658</v>
      </c>
      <c r="B4599" t="s">
        <v>458</v>
      </c>
      <c r="E4599" s="3">
        <f>HYPERLINK("https://sao.dolgi.msk.ru/account/1404248779/", 1404248779)</f>
        <v>1404248779</v>
      </c>
      <c r="F4599">
        <v>0</v>
      </c>
    </row>
    <row r="4600" spans="1:6" hidden="1" x14ac:dyDescent="0.25">
      <c r="A4600" t="s">
        <v>658</v>
      </c>
      <c r="B4600" t="s">
        <v>459</v>
      </c>
      <c r="E4600" s="3">
        <f>HYPERLINK("https://sao.dolgi.msk.ru/account/1404247215/", 1404247215)</f>
        <v>1404247215</v>
      </c>
      <c r="F4600">
        <v>0</v>
      </c>
    </row>
    <row r="4601" spans="1:6" hidden="1" x14ac:dyDescent="0.25">
      <c r="A4601" t="s">
        <v>658</v>
      </c>
      <c r="B4601" t="s">
        <v>460</v>
      </c>
      <c r="E4601" s="3">
        <f>HYPERLINK("https://sao.dolgi.msk.ru/account/1404246044/", 1404246044)</f>
        <v>1404246044</v>
      </c>
      <c r="F4601">
        <v>-4476.42</v>
      </c>
    </row>
    <row r="4602" spans="1:6" hidden="1" x14ac:dyDescent="0.25">
      <c r="A4602" t="s">
        <v>658</v>
      </c>
      <c r="B4602" t="s">
        <v>461</v>
      </c>
      <c r="E4602" s="3">
        <f>HYPERLINK("https://sao.dolgi.msk.ru/account/1404248605/", 1404248605)</f>
        <v>1404248605</v>
      </c>
      <c r="F4602">
        <v>-595.29999999999995</v>
      </c>
    </row>
    <row r="4603" spans="1:6" hidden="1" x14ac:dyDescent="0.25">
      <c r="A4603" t="s">
        <v>658</v>
      </c>
      <c r="B4603" t="s">
        <v>462</v>
      </c>
      <c r="E4603" s="3">
        <f>HYPERLINK("https://sao.dolgi.msk.ru/account/1404250764/", 1404250764)</f>
        <v>1404250764</v>
      </c>
      <c r="F4603">
        <v>-3822.44</v>
      </c>
    </row>
    <row r="4604" spans="1:6" hidden="1" x14ac:dyDescent="0.25">
      <c r="A4604" t="s">
        <v>658</v>
      </c>
      <c r="B4604" t="s">
        <v>463</v>
      </c>
      <c r="E4604" s="3">
        <f>HYPERLINK("https://sao.dolgi.msk.ru/account/1404248373/", 1404248373)</f>
        <v>1404248373</v>
      </c>
      <c r="F4604">
        <v>0</v>
      </c>
    </row>
    <row r="4605" spans="1:6" hidden="1" x14ac:dyDescent="0.25">
      <c r="A4605" t="s">
        <v>658</v>
      </c>
      <c r="B4605" t="s">
        <v>464</v>
      </c>
      <c r="E4605" s="3">
        <f>HYPERLINK("https://sao.dolgi.msk.ru/account/1404247645/", 1404247645)</f>
        <v>1404247645</v>
      </c>
      <c r="F4605">
        <v>-2222.63</v>
      </c>
    </row>
    <row r="4606" spans="1:6" x14ac:dyDescent="0.25">
      <c r="A4606" t="s">
        <v>658</v>
      </c>
      <c r="B4606" t="s">
        <v>465</v>
      </c>
      <c r="C4606" s="5" t="str">
        <f>" кв. "&amp;B4606</f>
        <v xml:space="preserve"> кв. 447</v>
      </c>
      <c r="D4606" s="5" t="str">
        <f>CONCATENATE(A4606,C4606)</f>
        <v>Валдайский пр., дом 10 к.1 кв. 447</v>
      </c>
      <c r="E4606" s="3">
        <f>HYPERLINK("https://sao.dolgi.msk.ru/account/1404251062/", 1404251062)</f>
        <v>1404251062</v>
      </c>
      <c r="F4606">
        <v>1812.4</v>
      </c>
    </row>
    <row r="4607" spans="1:6" hidden="1" x14ac:dyDescent="0.25">
      <c r="A4607" t="s">
        <v>658</v>
      </c>
      <c r="B4607" t="s">
        <v>466</v>
      </c>
      <c r="E4607" s="3">
        <f>HYPERLINK("https://sao.dolgi.msk.ru/account/1404250959/", 1404250959)</f>
        <v>1404250959</v>
      </c>
      <c r="F4607">
        <v>-3808.59</v>
      </c>
    </row>
    <row r="4608" spans="1:6" x14ac:dyDescent="0.25">
      <c r="A4608" t="s">
        <v>658</v>
      </c>
      <c r="B4608" t="s">
        <v>467</v>
      </c>
      <c r="C4608" s="5" t="str">
        <f>" кв. "&amp;B4608</f>
        <v xml:space="preserve"> кв. 449</v>
      </c>
      <c r="D4608" s="5" t="str">
        <f>CONCATENATE(A4608,C4608)</f>
        <v>Валдайский пр., дом 10 к.1 кв. 449</v>
      </c>
      <c r="E4608" s="3">
        <f>HYPERLINK("https://sao.dolgi.msk.ru/account/1404249616/", 1404249616)</f>
        <v>1404249616</v>
      </c>
      <c r="F4608">
        <v>2343.7800000000002</v>
      </c>
    </row>
    <row r="4609" spans="1:6" hidden="1" x14ac:dyDescent="0.25">
      <c r="A4609" t="s">
        <v>658</v>
      </c>
      <c r="B4609" t="s">
        <v>468</v>
      </c>
      <c r="E4609" s="3">
        <f>HYPERLINK("https://sao.dolgi.msk.ru/account/1404247151/", 1404247151)</f>
        <v>1404247151</v>
      </c>
      <c r="F4609">
        <v>-2648.44</v>
      </c>
    </row>
    <row r="4610" spans="1:6" hidden="1" x14ac:dyDescent="0.25">
      <c r="A4610" t="s">
        <v>658</v>
      </c>
      <c r="B4610" t="s">
        <v>469</v>
      </c>
      <c r="E4610" s="3">
        <f>HYPERLINK("https://sao.dolgi.msk.ru/account/1404246351/", 1404246351)</f>
        <v>1404246351</v>
      </c>
      <c r="F4610">
        <v>-2643.82</v>
      </c>
    </row>
    <row r="4611" spans="1:6" hidden="1" x14ac:dyDescent="0.25">
      <c r="A4611" t="s">
        <v>658</v>
      </c>
      <c r="B4611" t="s">
        <v>470</v>
      </c>
      <c r="E4611" s="3">
        <f>HYPERLINK("https://sao.dolgi.msk.ru/account/1404249691/", 1404249691)</f>
        <v>1404249691</v>
      </c>
      <c r="F4611">
        <v>-3808.59</v>
      </c>
    </row>
    <row r="4612" spans="1:6" hidden="1" x14ac:dyDescent="0.25">
      <c r="A4612" t="s">
        <v>658</v>
      </c>
      <c r="B4612" t="s">
        <v>471</v>
      </c>
      <c r="E4612" s="3">
        <f>HYPERLINK("https://sao.dolgi.msk.ru/account/1404251572/", 1404251572)</f>
        <v>1404251572</v>
      </c>
      <c r="F4612">
        <v>-3443.44</v>
      </c>
    </row>
    <row r="4613" spans="1:6" x14ac:dyDescent="0.25">
      <c r="A4613" t="s">
        <v>658</v>
      </c>
      <c r="B4613" t="s">
        <v>472</v>
      </c>
      <c r="C4613" s="5" t="str">
        <f t="shared" ref="C4613:C4615" si="221">" кв. "&amp;B4613</f>
        <v xml:space="preserve"> кв. 454</v>
      </c>
      <c r="D4613" s="5" t="str">
        <f>CONCATENATE(A4613,C4613)</f>
        <v>Валдайский пр., дом 10 к.1 кв. 454</v>
      </c>
      <c r="E4613" s="3">
        <f>HYPERLINK("https://sao.dolgi.msk.ru/account/1404248066/", 1404248066)</f>
        <v>1404248066</v>
      </c>
      <c r="F4613">
        <v>1825.05</v>
      </c>
    </row>
    <row r="4614" spans="1:6" x14ac:dyDescent="0.25">
      <c r="A4614" t="s">
        <v>658</v>
      </c>
      <c r="B4614" t="s">
        <v>473</v>
      </c>
      <c r="C4614" s="5" t="str">
        <f t="shared" si="221"/>
        <v xml:space="preserve"> кв. 455</v>
      </c>
      <c r="D4614" s="5" t="str">
        <f>CONCATENATE(A4614,C4614)</f>
        <v>Валдайский пр., дом 10 к.1 кв. 455</v>
      </c>
      <c r="E4614" s="3">
        <f>HYPERLINK("https://sao.dolgi.msk.ru/account/1404247434/", 1404247434)</f>
        <v>1404247434</v>
      </c>
      <c r="F4614">
        <v>1809.24</v>
      </c>
    </row>
    <row r="4615" spans="1:6" x14ac:dyDescent="0.25">
      <c r="A4615" t="s">
        <v>658</v>
      </c>
      <c r="B4615" t="s">
        <v>474</v>
      </c>
      <c r="C4615" s="5" t="str">
        <f t="shared" si="221"/>
        <v xml:space="preserve"> кв. 456</v>
      </c>
      <c r="D4615" s="5" t="str">
        <f>CONCATENATE(A4615,C4615)</f>
        <v>Валдайский пр., дом 10 к.1 кв. 456</v>
      </c>
      <c r="E4615" s="3">
        <f>HYPERLINK("https://sao.dolgi.msk.ru/account/1404249413/", 1404249413)</f>
        <v>1404249413</v>
      </c>
      <c r="F4615">
        <v>2606.31</v>
      </c>
    </row>
    <row r="4616" spans="1:6" hidden="1" x14ac:dyDescent="0.25">
      <c r="A4616" t="s">
        <v>660</v>
      </c>
      <c r="B4616" t="s">
        <v>5</v>
      </c>
      <c r="E4616" s="3">
        <f>HYPERLINK("https://sao.dolgi.msk.ru/account/1404252508/", 1404252508)</f>
        <v>1404252508</v>
      </c>
      <c r="F4616">
        <v>0</v>
      </c>
    </row>
    <row r="4617" spans="1:6" hidden="1" x14ac:dyDescent="0.25">
      <c r="A4617" t="s">
        <v>660</v>
      </c>
      <c r="B4617" t="s">
        <v>6</v>
      </c>
      <c r="E4617" s="3">
        <f>HYPERLINK("https://sao.dolgi.msk.ru/account/1404253893/", 1404253893)</f>
        <v>1404253893</v>
      </c>
      <c r="F4617">
        <v>-1964.14</v>
      </c>
    </row>
    <row r="4618" spans="1:6" hidden="1" x14ac:dyDescent="0.25">
      <c r="A4618" t="s">
        <v>660</v>
      </c>
      <c r="B4618" t="s">
        <v>7</v>
      </c>
      <c r="E4618" s="3">
        <f>HYPERLINK("https://sao.dolgi.msk.ru/account/1404252823/", 1404252823)</f>
        <v>1404252823</v>
      </c>
      <c r="F4618">
        <v>-977.21</v>
      </c>
    </row>
    <row r="4619" spans="1:6" hidden="1" x14ac:dyDescent="0.25">
      <c r="A4619" t="s">
        <v>660</v>
      </c>
      <c r="B4619" t="s">
        <v>8</v>
      </c>
      <c r="E4619" s="3">
        <f>HYPERLINK("https://sao.dolgi.msk.ru/account/1404252241/", 1404252241)</f>
        <v>1404252241</v>
      </c>
      <c r="F4619">
        <v>0</v>
      </c>
    </row>
    <row r="4620" spans="1:6" hidden="1" x14ac:dyDescent="0.25">
      <c r="A4620" t="s">
        <v>660</v>
      </c>
      <c r="B4620" t="s">
        <v>9</v>
      </c>
      <c r="E4620" s="3">
        <f>HYPERLINK("https://sao.dolgi.msk.ru/account/1404252006/", 1404252006)</f>
        <v>1404252006</v>
      </c>
      <c r="F4620">
        <v>-1421.74</v>
      </c>
    </row>
    <row r="4621" spans="1:6" hidden="1" x14ac:dyDescent="0.25">
      <c r="A4621" t="s">
        <v>660</v>
      </c>
      <c r="B4621" t="s">
        <v>10</v>
      </c>
      <c r="E4621" s="3">
        <f>HYPERLINK("https://sao.dolgi.msk.ru/account/1404253084/", 1404253084)</f>
        <v>1404253084</v>
      </c>
      <c r="F4621">
        <v>-253.16</v>
      </c>
    </row>
    <row r="4622" spans="1:6" hidden="1" x14ac:dyDescent="0.25">
      <c r="A4622" t="s">
        <v>660</v>
      </c>
      <c r="B4622" t="s">
        <v>11</v>
      </c>
      <c r="E4622" s="3">
        <f>HYPERLINK("https://sao.dolgi.msk.ru/account/1404251716/", 1404251716)</f>
        <v>1404251716</v>
      </c>
      <c r="F4622">
        <v>0</v>
      </c>
    </row>
    <row r="4623" spans="1:6" hidden="1" x14ac:dyDescent="0.25">
      <c r="A4623" t="s">
        <v>660</v>
      </c>
      <c r="B4623" t="s">
        <v>12</v>
      </c>
      <c r="E4623" s="3">
        <f>HYPERLINK("https://sao.dolgi.msk.ru/account/1404254132/", 1404254132)</f>
        <v>1404254132</v>
      </c>
      <c r="F4623">
        <v>-2543.5100000000002</v>
      </c>
    </row>
    <row r="4624" spans="1:6" hidden="1" x14ac:dyDescent="0.25">
      <c r="A4624" t="s">
        <v>660</v>
      </c>
      <c r="B4624" t="s">
        <v>13</v>
      </c>
      <c r="E4624" s="3">
        <f>HYPERLINK("https://sao.dolgi.msk.ru/account/1404252938/", 1404252938)</f>
        <v>1404252938</v>
      </c>
      <c r="F4624">
        <v>0</v>
      </c>
    </row>
    <row r="4625" spans="1:6" hidden="1" x14ac:dyDescent="0.25">
      <c r="A4625" t="s">
        <v>660</v>
      </c>
      <c r="B4625" t="s">
        <v>14</v>
      </c>
      <c r="E4625" s="3">
        <f>HYPERLINK("https://sao.dolgi.msk.ru/account/1404251652/", 1404251652)</f>
        <v>1404251652</v>
      </c>
      <c r="F4625">
        <v>-1622.35</v>
      </c>
    </row>
    <row r="4626" spans="1:6" hidden="1" x14ac:dyDescent="0.25">
      <c r="A4626" t="s">
        <v>660</v>
      </c>
      <c r="B4626" t="s">
        <v>15</v>
      </c>
      <c r="E4626" s="3">
        <f>HYPERLINK("https://sao.dolgi.msk.ru/account/1404253754/", 1404253754)</f>
        <v>1404253754</v>
      </c>
      <c r="F4626">
        <v>-2218.6</v>
      </c>
    </row>
    <row r="4627" spans="1:6" x14ac:dyDescent="0.25">
      <c r="A4627" t="s">
        <v>660</v>
      </c>
      <c r="B4627" t="s">
        <v>16</v>
      </c>
      <c r="C4627" s="5" t="str">
        <f t="shared" ref="C4627:C4628" si="222">" кв. "&amp;B4627</f>
        <v xml:space="preserve"> кв. 12</v>
      </c>
      <c r="D4627" s="5" t="str">
        <f>CONCATENATE(A4627,C4627)</f>
        <v>Валдайский пр., дом 12 кв. 12</v>
      </c>
      <c r="E4627" s="3">
        <f>HYPERLINK("https://sao.dolgi.msk.ru/account/1404252866/", 1404252866)</f>
        <v>1404252866</v>
      </c>
      <c r="F4627">
        <v>768.61</v>
      </c>
    </row>
    <row r="4628" spans="1:6" x14ac:dyDescent="0.25">
      <c r="A4628" t="s">
        <v>660</v>
      </c>
      <c r="B4628" t="s">
        <v>16</v>
      </c>
      <c r="C4628" s="5" t="str">
        <f t="shared" si="222"/>
        <v xml:space="preserve"> кв. 12</v>
      </c>
      <c r="D4628" s="5" t="str">
        <f>CONCATENATE(A4628,C4628)</f>
        <v>Валдайский пр., дом 12 кв. 12</v>
      </c>
      <c r="E4628" s="3">
        <f>HYPERLINK("https://sao.dolgi.msk.ru/account/1404253826/", 1404253826)</f>
        <v>1404253826</v>
      </c>
      <c r="F4628">
        <v>768.61</v>
      </c>
    </row>
    <row r="4629" spans="1:6" hidden="1" x14ac:dyDescent="0.25">
      <c r="A4629" t="s">
        <v>660</v>
      </c>
      <c r="B4629" t="s">
        <v>17</v>
      </c>
      <c r="E4629" s="3">
        <f>HYPERLINK("https://sao.dolgi.msk.ru/account/1404251855/", 1404251855)</f>
        <v>1404251855</v>
      </c>
      <c r="F4629">
        <v>-1369.86</v>
      </c>
    </row>
    <row r="4630" spans="1:6" hidden="1" x14ac:dyDescent="0.25">
      <c r="A4630" t="s">
        <v>660</v>
      </c>
      <c r="B4630" t="s">
        <v>18</v>
      </c>
      <c r="E4630" s="3">
        <f>HYPERLINK("https://sao.dolgi.msk.ru/account/1404253367/", 1404253367)</f>
        <v>1404253367</v>
      </c>
      <c r="F4630">
        <v>0</v>
      </c>
    </row>
    <row r="4631" spans="1:6" hidden="1" x14ac:dyDescent="0.25">
      <c r="A4631" t="s">
        <v>660</v>
      </c>
      <c r="B4631" t="s">
        <v>19</v>
      </c>
      <c r="E4631" s="3">
        <f>HYPERLINK("https://sao.dolgi.msk.ru/account/1404252081/", 1404252081)</f>
        <v>1404252081</v>
      </c>
      <c r="F4631">
        <v>-1613.11</v>
      </c>
    </row>
    <row r="4632" spans="1:6" hidden="1" x14ac:dyDescent="0.25">
      <c r="A4632" t="s">
        <v>660</v>
      </c>
      <c r="B4632" t="s">
        <v>20</v>
      </c>
      <c r="E4632" s="3">
        <f>HYPERLINK("https://sao.dolgi.msk.ru/account/1404253631/", 1404253631)</f>
        <v>1404253631</v>
      </c>
      <c r="F4632">
        <v>0</v>
      </c>
    </row>
    <row r="4633" spans="1:6" hidden="1" x14ac:dyDescent="0.25">
      <c r="A4633" t="s">
        <v>660</v>
      </c>
      <c r="B4633" t="s">
        <v>21</v>
      </c>
      <c r="E4633" s="3">
        <f>HYPERLINK("https://sao.dolgi.msk.ru/account/1404252129/", 1404252129)</f>
        <v>1404252129</v>
      </c>
      <c r="F4633">
        <v>-1594.62</v>
      </c>
    </row>
    <row r="4634" spans="1:6" hidden="1" x14ac:dyDescent="0.25">
      <c r="A4634" t="s">
        <v>660</v>
      </c>
      <c r="B4634" t="s">
        <v>22</v>
      </c>
      <c r="E4634" s="3">
        <f>HYPERLINK("https://sao.dolgi.msk.ru/account/1404253252/", 1404253252)</f>
        <v>1404253252</v>
      </c>
      <c r="F4634">
        <v>0</v>
      </c>
    </row>
    <row r="4635" spans="1:6" hidden="1" x14ac:dyDescent="0.25">
      <c r="A4635" t="s">
        <v>660</v>
      </c>
      <c r="B4635" t="s">
        <v>23</v>
      </c>
      <c r="E4635" s="3">
        <f>HYPERLINK("https://sao.dolgi.msk.ru/account/1404252348/", 1404252348)</f>
        <v>1404252348</v>
      </c>
      <c r="F4635">
        <v>-1617.73</v>
      </c>
    </row>
    <row r="4636" spans="1:6" x14ac:dyDescent="0.25">
      <c r="A4636" t="s">
        <v>660</v>
      </c>
      <c r="B4636" t="s">
        <v>24</v>
      </c>
      <c r="C4636" s="5" t="str">
        <f>" кв. "&amp;B4636</f>
        <v xml:space="preserve"> кв. 20</v>
      </c>
      <c r="D4636" s="5" t="str">
        <f>CONCATENATE(A4636,C4636)</f>
        <v>Валдайский пр., дом 12 кв. 20</v>
      </c>
      <c r="E4636" s="3">
        <f>HYPERLINK("https://sao.dolgi.msk.ru/account/1404253551/", 1404253551)</f>
        <v>1404253551</v>
      </c>
      <c r="F4636">
        <v>1527.73</v>
      </c>
    </row>
    <row r="4637" spans="1:6" hidden="1" x14ac:dyDescent="0.25">
      <c r="A4637" t="s">
        <v>660</v>
      </c>
      <c r="B4637" t="s">
        <v>25</v>
      </c>
      <c r="E4637" s="3">
        <f>HYPERLINK("https://sao.dolgi.msk.ru/account/1404253842/", 1404253842)</f>
        <v>1404253842</v>
      </c>
      <c r="F4637">
        <v>0</v>
      </c>
    </row>
    <row r="4638" spans="1:6" hidden="1" x14ac:dyDescent="0.25">
      <c r="A4638" t="s">
        <v>660</v>
      </c>
      <c r="B4638" t="s">
        <v>26</v>
      </c>
      <c r="E4638" s="3">
        <f>HYPERLINK("https://sao.dolgi.msk.ru/account/1404252049/", 1404252049)</f>
        <v>1404252049</v>
      </c>
      <c r="F4638">
        <v>-2250.94</v>
      </c>
    </row>
    <row r="4639" spans="1:6" x14ac:dyDescent="0.25">
      <c r="A4639" t="s">
        <v>660</v>
      </c>
      <c r="B4639" t="s">
        <v>27</v>
      </c>
      <c r="C4639" s="5" t="str">
        <f t="shared" ref="C4639:C4641" si="223">" кв. "&amp;B4639</f>
        <v xml:space="preserve"> кв. 23</v>
      </c>
      <c r="D4639" s="5" t="str">
        <f>CONCATENATE(A4639,C4639)</f>
        <v>Валдайский пр., дом 12 кв. 23</v>
      </c>
      <c r="E4639" s="3">
        <f>HYPERLINK("https://sao.dolgi.msk.ru/account/1404253105/", 1404253105)</f>
        <v>1404253105</v>
      </c>
      <c r="F4639">
        <v>1515.08</v>
      </c>
    </row>
    <row r="4640" spans="1:6" x14ac:dyDescent="0.25">
      <c r="A4640" t="s">
        <v>660</v>
      </c>
      <c r="B4640" t="s">
        <v>28</v>
      </c>
      <c r="C4640" s="5" t="str">
        <f t="shared" si="223"/>
        <v xml:space="preserve"> кв. 24</v>
      </c>
      <c r="D4640" s="5" t="str">
        <f>CONCATENATE(A4640,C4640)</f>
        <v>Валдайский пр., дом 12 кв. 24</v>
      </c>
      <c r="E4640" s="3">
        <f>HYPERLINK("https://sao.dolgi.msk.ru/account/1404252401/", 1404252401)</f>
        <v>1404252401</v>
      </c>
      <c r="F4640">
        <v>1110.21</v>
      </c>
    </row>
    <row r="4641" spans="1:6" x14ac:dyDescent="0.25">
      <c r="A4641" t="s">
        <v>660</v>
      </c>
      <c r="B4641" t="s">
        <v>29</v>
      </c>
      <c r="C4641" s="5" t="str">
        <f t="shared" si="223"/>
        <v xml:space="preserve"> кв. 25</v>
      </c>
      <c r="D4641" s="5" t="str">
        <f>CONCATENATE(A4641,C4641)</f>
        <v>Валдайский пр., дом 12 кв. 25</v>
      </c>
      <c r="E4641" s="3">
        <f>HYPERLINK("https://sao.dolgi.msk.ru/account/1404253674/", 1404253674)</f>
        <v>1404253674</v>
      </c>
      <c r="F4641">
        <v>578.82000000000005</v>
      </c>
    </row>
    <row r="4642" spans="1:6" hidden="1" x14ac:dyDescent="0.25">
      <c r="A4642" t="s">
        <v>660</v>
      </c>
      <c r="B4642" t="s">
        <v>30</v>
      </c>
      <c r="E4642" s="3">
        <f>HYPERLINK("https://sao.dolgi.msk.ru/account/1404252428/", 1404252428)</f>
        <v>1404252428</v>
      </c>
      <c r="F4642">
        <v>-831.98</v>
      </c>
    </row>
    <row r="4643" spans="1:6" x14ac:dyDescent="0.25">
      <c r="A4643" t="s">
        <v>660</v>
      </c>
      <c r="B4643" t="s">
        <v>31</v>
      </c>
      <c r="C4643" s="5" t="str">
        <f>" кв. "&amp;B4643</f>
        <v xml:space="preserve"> кв. 27</v>
      </c>
      <c r="D4643" s="5" t="str">
        <f>CONCATENATE(A4643,C4643)</f>
        <v>Валдайский пр., дом 12 кв. 27</v>
      </c>
      <c r="E4643" s="3">
        <f>HYPERLINK("https://sao.dolgi.msk.ru/account/1404252815/", 1404252815)</f>
        <v>1404252815</v>
      </c>
      <c r="F4643">
        <v>1100.72</v>
      </c>
    </row>
    <row r="4644" spans="1:6" hidden="1" x14ac:dyDescent="0.25">
      <c r="A4644" t="s">
        <v>660</v>
      </c>
      <c r="B4644" t="s">
        <v>32</v>
      </c>
      <c r="E4644" s="3">
        <f>HYPERLINK("https://sao.dolgi.msk.ru/account/1404253279/", 1404253279)</f>
        <v>1404253279</v>
      </c>
      <c r="F4644">
        <v>0</v>
      </c>
    </row>
    <row r="4645" spans="1:6" hidden="1" x14ac:dyDescent="0.25">
      <c r="A4645" t="s">
        <v>660</v>
      </c>
      <c r="B4645" t="s">
        <v>33</v>
      </c>
      <c r="E4645" s="3">
        <f>HYPERLINK("https://sao.dolgi.msk.ru/account/1404253287/", 1404253287)</f>
        <v>1404253287</v>
      </c>
      <c r="F4645">
        <v>-1460.58</v>
      </c>
    </row>
    <row r="4646" spans="1:6" hidden="1" x14ac:dyDescent="0.25">
      <c r="A4646" t="s">
        <v>660</v>
      </c>
      <c r="B4646" t="s">
        <v>34</v>
      </c>
      <c r="E4646" s="3">
        <f>HYPERLINK("https://sao.dolgi.msk.ru/account/1404252436/", 1404252436)</f>
        <v>1404252436</v>
      </c>
      <c r="F4646">
        <v>-2069.04</v>
      </c>
    </row>
    <row r="4647" spans="1:6" hidden="1" x14ac:dyDescent="0.25">
      <c r="A4647" t="s">
        <v>660</v>
      </c>
      <c r="B4647" t="s">
        <v>35</v>
      </c>
      <c r="E4647" s="3">
        <f>HYPERLINK("https://sao.dolgi.msk.ru/account/1404252145/", 1404252145)</f>
        <v>1404252145</v>
      </c>
      <c r="F4647">
        <v>0</v>
      </c>
    </row>
    <row r="4648" spans="1:6" x14ac:dyDescent="0.25">
      <c r="A4648" t="s">
        <v>660</v>
      </c>
      <c r="B4648" t="s">
        <v>36</v>
      </c>
      <c r="C4648" s="5" t="str">
        <f t="shared" ref="C4648:C4649" si="224">" кв. "&amp;B4648</f>
        <v xml:space="preserve"> кв. 32</v>
      </c>
      <c r="D4648" s="5" t="str">
        <f>CONCATENATE(A4648,C4648)</f>
        <v>Валдайский пр., дом 12 кв. 32</v>
      </c>
      <c r="E4648" s="3">
        <f>HYPERLINK("https://sao.dolgi.msk.ru/account/1404251812/", 1404251812)</f>
        <v>1404251812</v>
      </c>
      <c r="F4648">
        <v>869.83</v>
      </c>
    </row>
    <row r="4649" spans="1:6" x14ac:dyDescent="0.25">
      <c r="A4649" t="s">
        <v>660</v>
      </c>
      <c r="B4649" t="s">
        <v>37</v>
      </c>
      <c r="C4649" s="5" t="str">
        <f t="shared" si="224"/>
        <v xml:space="preserve"> кв. 33</v>
      </c>
      <c r="D4649" s="5" t="str">
        <f>CONCATENATE(A4649,C4649)</f>
        <v>Валдайский пр., дом 12 кв. 33</v>
      </c>
      <c r="E4649" s="3">
        <f>HYPERLINK("https://sao.dolgi.msk.ru/account/1404253295/", 1404253295)</f>
        <v>1404253295</v>
      </c>
      <c r="F4649">
        <v>578.82000000000005</v>
      </c>
    </row>
    <row r="4650" spans="1:6" hidden="1" x14ac:dyDescent="0.25">
      <c r="A4650" t="s">
        <v>660</v>
      </c>
      <c r="B4650" t="s">
        <v>38</v>
      </c>
      <c r="E4650" s="3">
        <f>HYPERLINK("https://sao.dolgi.msk.ru/account/1404252444/", 1404252444)</f>
        <v>1404252444</v>
      </c>
      <c r="F4650">
        <v>-1594.62</v>
      </c>
    </row>
    <row r="4651" spans="1:6" hidden="1" x14ac:dyDescent="0.25">
      <c r="A4651" t="s">
        <v>660</v>
      </c>
      <c r="B4651" t="s">
        <v>39</v>
      </c>
      <c r="E4651" s="3">
        <f>HYPERLINK("https://sao.dolgi.msk.ru/account/1404252831/", 1404252831)</f>
        <v>1404252831</v>
      </c>
      <c r="F4651">
        <v>-1589.99</v>
      </c>
    </row>
    <row r="4652" spans="1:6" hidden="1" x14ac:dyDescent="0.25">
      <c r="A4652" t="s">
        <v>660</v>
      </c>
      <c r="B4652" t="s">
        <v>40</v>
      </c>
      <c r="E4652" s="3">
        <f>HYPERLINK("https://sao.dolgi.msk.ru/account/1404251839/", 1404251839)</f>
        <v>1404251839</v>
      </c>
      <c r="F4652">
        <v>-1608.48</v>
      </c>
    </row>
    <row r="4653" spans="1:6" hidden="1" x14ac:dyDescent="0.25">
      <c r="A4653" t="s">
        <v>660</v>
      </c>
      <c r="B4653" t="s">
        <v>41</v>
      </c>
      <c r="E4653" s="3">
        <f>HYPERLINK("https://sao.dolgi.msk.ru/account/1404252858/", 1404252858)</f>
        <v>1404252858</v>
      </c>
      <c r="F4653">
        <v>-1608.48</v>
      </c>
    </row>
    <row r="4654" spans="1:6" hidden="1" x14ac:dyDescent="0.25">
      <c r="A4654" t="s">
        <v>660</v>
      </c>
      <c r="B4654" t="s">
        <v>42</v>
      </c>
      <c r="E4654" s="3">
        <f>HYPERLINK("https://sao.dolgi.msk.ru/account/1404252153/", 1404252153)</f>
        <v>1404252153</v>
      </c>
      <c r="F4654">
        <v>-2060.5300000000002</v>
      </c>
    </row>
    <row r="4655" spans="1:6" hidden="1" x14ac:dyDescent="0.25">
      <c r="A4655" t="s">
        <v>660</v>
      </c>
      <c r="B4655" t="s">
        <v>43</v>
      </c>
      <c r="E4655" s="3">
        <f>HYPERLINK("https://sao.dolgi.msk.ru/account/1404253981/", 1404253981)</f>
        <v>1404253981</v>
      </c>
      <c r="F4655">
        <v>-2241.6999999999998</v>
      </c>
    </row>
    <row r="4656" spans="1:6" hidden="1" x14ac:dyDescent="0.25">
      <c r="A4656" t="s">
        <v>660</v>
      </c>
      <c r="B4656" t="s">
        <v>44</v>
      </c>
      <c r="E4656" s="3">
        <f>HYPERLINK("https://sao.dolgi.msk.ru/account/1404253033/", 1404253033)</f>
        <v>1404253033</v>
      </c>
      <c r="F4656">
        <v>-2250.94</v>
      </c>
    </row>
    <row r="4657" spans="1:6" hidden="1" x14ac:dyDescent="0.25">
      <c r="A4657" t="s">
        <v>660</v>
      </c>
      <c r="B4657" t="s">
        <v>45</v>
      </c>
      <c r="E4657" s="3">
        <f>HYPERLINK("https://sao.dolgi.msk.ru/account/1404254204/", 1404254204)</f>
        <v>1404254204</v>
      </c>
      <c r="F4657">
        <v>-1852.53</v>
      </c>
    </row>
    <row r="4658" spans="1:6" hidden="1" x14ac:dyDescent="0.25">
      <c r="A4658" t="s">
        <v>660</v>
      </c>
      <c r="B4658" t="s">
        <v>46</v>
      </c>
      <c r="E4658" s="3">
        <f>HYPERLINK("https://sao.dolgi.msk.ru/account/1404252575/", 1404252575)</f>
        <v>1404252575</v>
      </c>
      <c r="F4658">
        <v>-1622.35</v>
      </c>
    </row>
    <row r="4659" spans="1:6" hidden="1" x14ac:dyDescent="0.25">
      <c r="A4659" t="s">
        <v>660</v>
      </c>
      <c r="B4659" t="s">
        <v>47</v>
      </c>
      <c r="E4659" s="3">
        <f>HYPERLINK("https://sao.dolgi.msk.ru/account/1404253471/", 1404253471)</f>
        <v>1404253471</v>
      </c>
      <c r="F4659">
        <v>0</v>
      </c>
    </row>
    <row r="4660" spans="1:6" hidden="1" x14ac:dyDescent="0.25">
      <c r="A4660" t="s">
        <v>660</v>
      </c>
      <c r="B4660" t="s">
        <v>47</v>
      </c>
      <c r="E4660" s="3">
        <f>HYPERLINK("https://sao.dolgi.msk.ru/account/1404253498/", 1404253498)</f>
        <v>1404253498</v>
      </c>
      <c r="F4660">
        <v>0</v>
      </c>
    </row>
    <row r="4661" spans="1:6" hidden="1" x14ac:dyDescent="0.25">
      <c r="A4661" t="s">
        <v>660</v>
      </c>
      <c r="B4661" t="s">
        <v>48</v>
      </c>
      <c r="E4661" s="3">
        <f>HYPERLINK("https://sao.dolgi.msk.ru/account/1404251775/", 1404251775)</f>
        <v>1404251775</v>
      </c>
      <c r="F4661">
        <v>-1126.98</v>
      </c>
    </row>
    <row r="4662" spans="1:6" x14ac:dyDescent="0.25">
      <c r="A4662" t="s">
        <v>660</v>
      </c>
      <c r="B4662" t="s">
        <v>49</v>
      </c>
      <c r="C4662" s="5" t="str">
        <f>" кв. "&amp;B4662</f>
        <v xml:space="preserve"> кв. 45</v>
      </c>
      <c r="D4662" s="5" t="str">
        <f>CONCATENATE(A4662,C4662)</f>
        <v>Валдайский пр., дом 12 кв. 45</v>
      </c>
      <c r="E4662" s="3">
        <f>HYPERLINK("https://sao.dolgi.msk.ru/account/1404252268/", 1404252268)</f>
        <v>1404252268</v>
      </c>
      <c r="F4662">
        <v>1097.56</v>
      </c>
    </row>
    <row r="4663" spans="1:6" hidden="1" x14ac:dyDescent="0.25">
      <c r="A4663" t="s">
        <v>660</v>
      </c>
      <c r="B4663" t="s">
        <v>50</v>
      </c>
      <c r="E4663" s="3">
        <f>HYPERLINK("https://sao.dolgi.msk.ru/account/1404253041/", 1404253041)</f>
        <v>1404253041</v>
      </c>
      <c r="F4663">
        <v>-1622.35</v>
      </c>
    </row>
    <row r="4664" spans="1:6" hidden="1" x14ac:dyDescent="0.25">
      <c r="A4664" t="s">
        <v>660</v>
      </c>
      <c r="B4664" t="s">
        <v>51</v>
      </c>
      <c r="E4664" s="3">
        <f>HYPERLINK("https://sao.dolgi.msk.ru/account/1404253519/", 1404253519)</f>
        <v>1404253519</v>
      </c>
      <c r="F4664">
        <v>-2218.6</v>
      </c>
    </row>
    <row r="4665" spans="1:6" hidden="1" x14ac:dyDescent="0.25">
      <c r="A4665" t="s">
        <v>660</v>
      </c>
      <c r="B4665" t="s">
        <v>52</v>
      </c>
      <c r="E4665" s="3">
        <f>HYPERLINK("https://sao.dolgi.msk.ru/account/1404254212/", 1404254212)</f>
        <v>1404254212</v>
      </c>
      <c r="F4665">
        <v>-2264.81</v>
      </c>
    </row>
    <row r="4666" spans="1:6" hidden="1" x14ac:dyDescent="0.25">
      <c r="A4666" t="s">
        <v>660</v>
      </c>
      <c r="B4666" t="s">
        <v>53</v>
      </c>
      <c r="E4666" s="3">
        <f>HYPERLINK("https://sao.dolgi.msk.ru/account/1404252583/", 1404252583)</f>
        <v>1404252583</v>
      </c>
      <c r="F4666">
        <v>-2246.3200000000002</v>
      </c>
    </row>
    <row r="4667" spans="1:6" hidden="1" x14ac:dyDescent="0.25">
      <c r="A4667" t="s">
        <v>660</v>
      </c>
      <c r="B4667" t="s">
        <v>54</v>
      </c>
      <c r="E4667" s="3">
        <f>HYPERLINK("https://sao.dolgi.msk.ru/account/1404252276/", 1404252276)</f>
        <v>1404252276</v>
      </c>
      <c r="F4667">
        <v>0</v>
      </c>
    </row>
    <row r="4668" spans="1:6" hidden="1" x14ac:dyDescent="0.25">
      <c r="A4668" t="s">
        <v>660</v>
      </c>
      <c r="B4668" t="s">
        <v>55</v>
      </c>
      <c r="E4668" s="3">
        <f>HYPERLINK("https://sao.dolgi.msk.ru/account/1404253527/", 1404253527)</f>
        <v>1404253527</v>
      </c>
      <c r="F4668">
        <v>-848.28</v>
      </c>
    </row>
    <row r="4669" spans="1:6" hidden="1" x14ac:dyDescent="0.25">
      <c r="A4669" t="s">
        <v>660</v>
      </c>
      <c r="B4669" t="s">
        <v>56</v>
      </c>
      <c r="E4669" s="3">
        <f>HYPERLINK("https://sao.dolgi.msk.ru/account/1404253834/", 1404253834)</f>
        <v>1404253834</v>
      </c>
      <c r="F4669">
        <v>-1617.73</v>
      </c>
    </row>
    <row r="4670" spans="1:6" hidden="1" x14ac:dyDescent="0.25">
      <c r="A4670" t="s">
        <v>660</v>
      </c>
      <c r="B4670" t="s">
        <v>57</v>
      </c>
      <c r="E4670" s="3">
        <f>HYPERLINK("https://sao.dolgi.msk.ru/account/1404252284/", 1404252284)</f>
        <v>1404252284</v>
      </c>
      <c r="F4670">
        <v>0</v>
      </c>
    </row>
    <row r="4671" spans="1:6" hidden="1" x14ac:dyDescent="0.25">
      <c r="A4671" t="s">
        <v>660</v>
      </c>
      <c r="B4671" t="s">
        <v>58</v>
      </c>
      <c r="E4671" s="3">
        <f>HYPERLINK("https://sao.dolgi.msk.ru/account/1404252292/", 1404252292)</f>
        <v>1404252292</v>
      </c>
      <c r="F4671">
        <v>-832.7</v>
      </c>
    </row>
    <row r="4672" spans="1:6" hidden="1" x14ac:dyDescent="0.25">
      <c r="A4672" t="s">
        <v>660</v>
      </c>
      <c r="B4672" t="s">
        <v>59</v>
      </c>
      <c r="E4672" s="3">
        <f>HYPERLINK("https://sao.dolgi.msk.ru/account/1404253068/", 1404253068)</f>
        <v>1404253068</v>
      </c>
      <c r="F4672">
        <v>-855.09</v>
      </c>
    </row>
    <row r="4673" spans="1:6" x14ac:dyDescent="0.25">
      <c r="A4673" t="s">
        <v>660</v>
      </c>
      <c r="B4673" t="s">
        <v>60</v>
      </c>
      <c r="C4673" s="5" t="str">
        <f>" кв. "&amp;B4673</f>
        <v xml:space="preserve"> кв. 56</v>
      </c>
      <c r="D4673" s="5" t="str">
        <f>CONCATENATE(A4673,C4673)</f>
        <v>Валдайский пр., дом 12 кв. 56</v>
      </c>
      <c r="E4673" s="3">
        <f>HYPERLINK("https://sao.dolgi.msk.ru/account/1404252591/", 1404252591)</f>
        <v>1404252591</v>
      </c>
      <c r="F4673">
        <v>1002.67</v>
      </c>
    </row>
    <row r="4674" spans="1:6" hidden="1" x14ac:dyDescent="0.25">
      <c r="A4674" t="s">
        <v>660</v>
      </c>
      <c r="B4674" t="s">
        <v>61</v>
      </c>
      <c r="E4674" s="3">
        <f>HYPERLINK("https://sao.dolgi.msk.ru/account/1404252014/", 1404252014)</f>
        <v>1404252014</v>
      </c>
      <c r="F4674">
        <v>-2260.19</v>
      </c>
    </row>
    <row r="4675" spans="1:6" hidden="1" x14ac:dyDescent="0.25">
      <c r="A4675" t="s">
        <v>660</v>
      </c>
      <c r="B4675" t="s">
        <v>62</v>
      </c>
      <c r="E4675" s="3">
        <f>HYPERLINK("https://sao.dolgi.msk.ru/account/1404252604/", 1404252604)</f>
        <v>1404252604</v>
      </c>
      <c r="F4675">
        <v>-2250.94</v>
      </c>
    </row>
    <row r="4676" spans="1:6" hidden="1" x14ac:dyDescent="0.25">
      <c r="A4676" t="s">
        <v>660</v>
      </c>
      <c r="B4676" t="s">
        <v>63</v>
      </c>
      <c r="E4676" s="3">
        <f>HYPERLINK("https://sao.dolgi.msk.ru/account/1404253076/", 1404253076)</f>
        <v>1404253076</v>
      </c>
      <c r="F4676">
        <v>-2213.98</v>
      </c>
    </row>
    <row r="4677" spans="1:6" hidden="1" x14ac:dyDescent="0.25">
      <c r="A4677" t="s">
        <v>660</v>
      </c>
      <c r="B4677" t="s">
        <v>64</v>
      </c>
      <c r="E4677" s="3">
        <f>HYPERLINK("https://sao.dolgi.msk.ru/account/1404251732/", 1404251732)</f>
        <v>1404251732</v>
      </c>
      <c r="F4677">
        <v>-1626.98</v>
      </c>
    </row>
    <row r="4678" spans="1:6" x14ac:dyDescent="0.25">
      <c r="A4678" t="s">
        <v>660</v>
      </c>
      <c r="B4678" t="s">
        <v>65</v>
      </c>
      <c r="C4678" s="5" t="str">
        <f t="shared" ref="C4678:C4679" si="225">" кв. "&amp;B4678</f>
        <v xml:space="preserve"> кв. 61</v>
      </c>
      <c r="D4678" s="5" t="str">
        <f>CONCATENATE(A4678,C4678)</f>
        <v>Валдайский пр., дом 12 кв. 61</v>
      </c>
      <c r="E4678" s="3">
        <f>HYPERLINK("https://sao.dolgi.msk.ru/account/1404251759/", 1404251759)</f>
        <v>1404251759</v>
      </c>
      <c r="F4678">
        <v>1100.72</v>
      </c>
    </row>
    <row r="4679" spans="1:6" x14ac:dyDescent="0.25">
      <c r="A4679" t="s">
        <v>660</v>
      </c>
      <c r="B4679" t="s">
        <v>66</v>
      </c>
      <c r="C4679" s="5" t="str">
        <f t="shared" si="225"/>
        <v xml:space="preserve"> кв. 62</v>
      </c>
      <c r="D4679" s="5" t="str">
        <f>CONCATENATE(A4679,C4679)</f>
        <v>Валдайский пр., дом 12 кв. 62</v>
      </c>
      <c r="E4679" s="3">
        <f>HYPERLINK("https://sao.dolgi.msk.ru/account/1404251994/", 1404251994)</f>
        <v>1404251994</v>
      </c>
      <c r="F4679">
        <v>1094.4000000000001</v>
      </c>
    </row>
    <row r="4680" spans="1:6" hidden="1" x14ac:dyDescent="0.25">
      <c r="A4680" t="s">
        <v>660</v>
      </c>
      <c r="B4680" t="s">
        <v>67</v>
      </c>
      <c r="E4680" s="3">
        <f>HYPERLINK("https://sao.dolgi.msk.ru/account/1404253818/", 1404253818)</f>
        <v>1404253818</v>
      </c>
      <c r="F4680">
        <v>0</v>
      </c>
    </row>
    <row r="4681" spans="1:6" hidden="1" x14ac:dyDescent="0.25">
      <c r="A4681" t="s">
        <v>660</v>
      </c>
      <c r="B4681" t="s">
        <v>68</v>
      </c>
      <c r="E4681" s="3">
        <f>HYPERLINK("https://sao.dolgi.msk.ru/account/1404251767/", 1404251767)</f>
        <v>1404251767</v>
      </c>
      <c r="F4681">
        <v>0</v>
      </c>
    </row>
    <row r="4682" spans="1:6" x14ac:dyDescent="0.25">
      <c r="A4682" t="s">
        <v>660</v>
      </c>
      <c r="B4682" t="s">
        <v>68</v>
      </c>
      <c r="C4682" s="5" t="str">
        <f>" кв. "&amp;B4682</f>
        <v xml:space="preserve"> кв. 64</v>
      </c>
      <c r="D4682" s="5" t="str">
        <f>CONCATENATE(A4682,C4682)</f>
        <v>Валдайский пр., дом 12 кв. 64</v>
      </c>
      <c r="E4682" s="3">
        <f>HYPERLINK("https://sao.dolgi.msk.ru/account/1404254319/", 1404254319)</f>
        <v>1404254319</v>
      </c>
      <c r="F4682">
        <v>273.60000000000002</v>
      </c>
    </row>
    <row r="4683" spans="1:6" hidden="1" x14ac:dyDescent="0.25">
      <c r="A4683" t="s">
        <v>660</v>
      </c>
      <c r="B4683" t="s">
        <v>69</v>
      </c>
      <c r="E4683" s="3">
        <f>HYPERLINK("https://sao.dolgi.msk.ru/account/1404253463/", 1404253463)</f>
        <v>1404253463</v>
      </c>
      <c r="F4683">
        <v>-2195.4899999999998</v>
      </c>
    </row>
    <row r="4684" spans="1:6" hidden="1" x14ac:dyDescent="0.25">
      <c r="A4684" t="s">
        <v>660</v>
      </c>
      <c r="B4684" t="s">
        <v>70</v>
      </c>
      <c r="E4684" s="3">
        <f>HYPERLINK("https://sao.dolgi.msk.ru/account/1404252567/", 1404252567)</f>
        <v>1404252567</v>
      </c>
      <c r="F4684">
        <v>-712.02</v>
      </c>
    </row>
    <row r="4685" spans="1:6" x14ac:dyDescent="0.25">
      <c r="A4685" t="s">
        <v>660</v>
      </c>
      <c r="B4685" t="s">
        <v>71</v>
      </c>
      <c r="C4685" s="5" t="str">
        <f>" кв. "&amp;B4685</f>
        <v xml:space="preserve"> кв. 67</v>
      </c>
      <c r="D4685" s="5" t="str">
        <f>CONCATENATE(A4685,C4685)</f>
        <v>Валдайский пр., дом 12 кв. 67</v>
      </c>
      <c r="E4685" s="3">
        <f>HYPERLINK("https://sao.dolgi.msk.ru/account/1404253009/", 1404253009)</f>
        <v>1404253009</v>
      </c>
      <c r="F4685">
        <v>1537.22</v>
      </c>
    </row>
    <row r="4686" spans="1:6" hidden="1" x14ac:dyDescent="0.25">
      <c r="A4686" t="s">
        <v>660</v>
      </c>
      <c r="B4686" t="s">
        <v>72</v>
      </c>
      <c r="E4686" s="3">
        <f>HYPERLINK("https://sao.dolgi.msk.ru/account/1404253017/", 1404253017)</f>
        <v>1404253017</v>
      </c>
      <c r="F4686">
        <v>-1423.6</v>
      </c>
    </row>
    <row r="4687" spans="1:6" hidden="1" x14ac:dyDescent="0.25">
      <c r="A4687" t="s">
        <v>660</v>
      </c>
      <c r="B4687" t="s">
        <v>73</v>
      </c>
      <c r="E4687" s="3">
        <f>HYPERLINK("https://sao.dolgi.msk.ru/account/1404254175/", 1404254175)</f>
        <v>1404254175</v>
      </c>
      <c r="F4687">
        <v>0</v>
      </c>
    </row>
    <row r="4688" spans="1:6" x14ac:dyDescent="0.25">
      <c r="A4688" t="s">
        <v>660</v>
      </c>
      <c r="B4688" t="s">
        <v>74</v>
      </c>
      <c r="C4688" s="5" t="str">
        <f t="shared" ref="C4688:C4689" si="226">" кв. "&amp;B4688</f>
        <v xml:space="preserve"> кв. 70</v>
      </c>
      <c r="D4688" s="5" t="str">
        <f>CONCATENATE(A4688,C4688)</f>
        <v>Валдайский пр., дом 12 кв. 70</v>
      </c>
      <c r="E4688" s="3">
        <f>HYPERLINK("https://sao.dolgi.msk.ru/account/1404251951/", 1404251951)</f>
        <v>1404251951</v>
      </c>
      <c r="F4688">
        <v>1100.72</v>
      </c>
    </row>
    <row r="4689" spans="1:6" x14ac:dyDescent="0.25">
      <c r="A4689" t="s">
        <v>660</v>
      </c>
      <c r="B4689" t="s">
        <v>75</v>
      </c>
      <c r="C4689" s="5" t="str">
        <f t="shared" si="226"/>
        <v xml:space="preserve"> кв. 71</v>
      </c>
      <c r="D4689" s="5" t="str">
        <f>CONCATENATE(A4689,C4689)</f>
        <v>Валдайский пр., дом 12 кв. 71</v>
      </c>
      <c r="E4689" s="3">
        <f>HYPERLINK("https://sao.dolgi.msk.ru/account/1404252954/", 1404252954)</f>
        <v>1404252954</v>
      </c>
      <c r="F4689">
        <v>1094.4000000000001</v>
      </c>
    </row>
    <row r="4690" spans="1:6" hidden="1" x14ac:dyDescent="0.25">
      <c r="A4690" t="s">
        <v>660</v>
      </c>
      <c r="B4690" t="s">
        <v>76</v>
      </c>
      <c r="E4690" s="3">
        <f>HYPERLINK("https://sao.dolgi.msk.ru/account/1404252962/", 1404252962)</f>
        <v>1404252962</v>
      </c>
      <c r="F4690">
        <v>-845.84</v>
      </c>
    </row>
    <row r="4691" spans="1:6" hidden="1" x14ac:dyDescent="0.25">
      <c r="A4691" t="s">
        <v>660</v>
      </c>
      <c r="B4691" t="s">
        <v>77</v>
      </c>
      <c r="E4691" s="3">
        <f>HYPERLINK("https://sao.dolgi.msk.ru/account/1404252559/", 1404252559)</f>
        <v>1404252559</v>
      </c>
      <c r="F4691">
        <v>-852.18</v>
      </c>
    </row>
    <row r="4692" spans="1:6" x14ac:dyDescent="0.25">
      <c r="A4692" t="s">
        <v>660</v>
      </c>
      <c r="B4692" t="s">
        <v>78</v>
      </c>
      <c r="C4692" s="5" t="str">
        <f>" кв. "&amp;B4692</f>
        <v xml:space="preserve"> кв. 74</v>
      </c>
      <c r="D4692" s="5" t="str">
        <f>CONCATENATE(A4692,C4692)</f>
        <v>Валдайский пр., дом 12 кв. 74</v>
      </c>
      <c r="E4692" s="3">
        <f>HYPERLINK("https://sao.dolgi.msk.ru/account/1404253789/", 1404253789)</f>
        <v>1404253789</v>
      </c>
      <c r="F4692">
        <v>751.22</v>
      </c>
    </row>
    <row r="4693" spans="1:6" hidden="1" x14ac:dyDescent="0.25">
      <c r="A4693" t="s">
        <v>660</v>
      </c>
      <c r="B4693" t="s">
        <v>79</v>
      </c>
      <c r="E4693" s="3">
        <f>HYPERLINK("https://sao.dolgi.msk.ru/account/1404251978/", 1404251978)</f>
        <v>1404251978</v>
      </c>
      <c r="F4693">
        <v>-2283.3000000000002</v>
      </c>
    </row>
    <row r="4694" spans="1:6" hidden="1" x14ac:dyDescent="0.25">
      <c r="A4694" t="s">
        <v>660</v>
      </c>
      <c r="B4694" t="s">
        <v>80</v>
      </c>
      <c r="E4694" s="3">
        <f>HYPERLINK("https://sao.dolgi.msk.ru/account/1404254124/", 1404254124)</f>
        <v>1404254124</v>
      </c>
      <c r="F4694">
        <v>-2246.3200000000002</v>
      </c>
    </row>
    <row r="4695" spans="1:6" x14ac:dyDescent="0.25">
      <c r="A4695" t="s">
        <v>660</v>
      </c>
      <c r="B4695" t="s">
        <v>81</v>
      </c>
      <c r="C4695" s="5" t="str">
        <f>" кв. "&amp;B4695</f>
        <v xml:space="preserve"> кв. 77</v>
      </c>
      <c r="D4695" s="5" t="str">
        <f>CONCATENATE(A4695,C4695)</f>
        <v>Валдайский пр., дом 12 кв. 77</v>
      </c>
      <c r="E4695" s="3">
        <f>HYPERLINK("https://sao.dolgi.msk.ru/account/1404252989/", 1404252989)</f>
        <v>1404252989</v>
      </c>
      <c r="F4695">
        <v>1521.4</v>
      </c>
    </row>
    <row r="4696" spans="1:6" hidden="1" x14ac:dyDescent="0.25">
      <c r="A4696" t="s">
        <v>660</v>
      </c>
      <c r="B4696" t="s">
        <v>82</v>
      </c>
      <c r="E4696" s="3">
        <f>HYPERLINK("https://sao.dolgi.msk.ru/account/1404253455/", 1404253455)</f>
        <v>1404253455</v>
      </c>
      <c r="F4696">
        <v>0</v>
      </c>
    </row>
    <row r="4697" spans="1:6" x14ac:dyDescent="0.25">
      <c r="A4697" t="s">
        <v>660</v>
      </c>
      <c r="B4697" t="s">
        <v>83</v>
      </c>
      <c r="C4697" s="5" t="str">
        <f>" кв. "&amp;B4697</f>
        <v xml:space="preserve"> кв. 79</v>
      </c>
      <c r="D4697" s="5" t="str">
        <f>CONCATENATE(A4697,C4697)</f>
        <v>Валдайский пр., дом 12 кв. 79</v>
      </c>
      <c r="E4697" s="3">
        <f>HYPERLINK("https://sao.dolgi.msk.ru/account/1404251986/", 1404251986)</f>
        <v>1404251986</v>
      </c>
      <c r="F4697">
        <v>1100.72</v>
      </c>
    </row>
    <row r="4698" spans="1:6" hidden="1" x14ac:dyDescent="0.25">
      <c r="A4698" t="s">
        <v>660</v>
      </c>
      <c r="B4698" t="s">
        <v>84</v>
      </c>
      <c r="E4698" s="3">
        <f>HYPERLINK("https://sao.dolgi.msk.ru/account/1404253797/", 1404253797)</f>
        <v>1404253797</v>
      </c>
      <c r="F4698">
        <v>-1608.48</v>
      </c>
    </row>
    <row r="4699" spans="1:6" x14ac:dyDescent="0.25">
      <c r="A4699" t="s">
        <v>660</v>
      </c>
      <c r="B4699" t="s">
        <v>85</v>
      </c>
      <c r="C4699" s="5" t="str">
        <f>" кв. "&amp;B4699</f>
        <v xml:space="preserve"> кв. 81</v>
      </c>
      <c r="D4699" s="5" t="str">
        <f>CONCATENATE(A4699,C4699)</f>
        <v>Валдайский пр., дом 12 кв. 81</v>
      </c>
      <c r="E4699" s="3">
        <f>HYPERLINK("https://sao.dolgi.msk.ru/account/1404252997/", 1404252997)</f>
        <v>1404252997</v>
      </c>
      <c r="F4699">
        <v>1088.07</v>
      </c>
    </row>
    <row r="4700" spans="1:6" hidden="1" x14ac:dyDescent="0.25">
      <c r="A4700" t="s">
        <v>660</v>
      </c>
      <c r="B4700" t="s">
        <v>86</v>
      </c>
      <c r="E4700" s="3">
        <f>HYPERLINK("https://sao.dolgi.msk.ru/account/1404251724/", 1404251724)</f>
        <v>1404251724</v>
      </c>
      <c r="F4700">
        <v>0</v>
      </c>
    </row>
    <row r="4701" spans="1:6" x14ac:dyDescent="0.25">
      <c r="A4701" t="s">
        <v>660</v>
      </c>
      <c r="B4701" t="s">
        <v>87</v>
      </c>
      <c r="C4701" s="5" t="str">
        <f>" кв. "&amp;B4701</f>
        <v xml:space="preserve"> кв. 83</v>
      </c>
      <c r="D4701" s="5" t="str">
        <f>CONCATENATE(A4701,C4701)</f>
        <v>Валдайский пр., дом 12 кв. 83</v>
      </c>
      <c r="E4701" s="3">
        <f>HYPERLINK("https://sao.dolgi.msk.ru/account/1404252233/", 1404252233)</f>
        <v>1404252233</v>
      </c>
      <c r="F4701">
        <v>1505.59</v>
      </c>
    </row>
    <row r="4702" spans="1:6" hidden="1" x14ac:dyDescent="0.25">
      <c r="A4702" t="s">
        <v>660</v>
      </c>
      <c r="B4702" t="s">
        <v>88</v>
      </c>
      <c r="E4702" s="3">
        <f>HYPERLINK("https://sao.dolgi.msk.ru/account/1404254159/", 1404254159)</f>
        <v>1404254159</v>
      </c>
      <c r="F4702">
        <v>-1702.07</v>
      </c>
    </row>
    <row r="4703" spans="1:6" x14ac:dyDescent="0.25">
      <c r="A4703" t="s">
        <v>660</v>
      </c>
      <c r="B4703" t="s">
        <v>89</v>
      </c>
      <c r="C4703" s="5" t="str">
        <f>" кв. "&amp;B4703</f>
        <v xml:space="preserve"> кв. 85</v>
      </c>
      <c r="D4703" s="5" t="str">
        <f>CONCATENATE(A4703,C4703)</f>
        <v>Валдайский пр., дом 12 кв. 85</v>
      </c>
      <c r="E4703" s="3">
        <f>HYPERLINK("https://sao.dolgi.msk.ru/account/1404254167/", 1404254167)</f>
        <v>1404254167</v>
      </c>
      <c r="F4703">
        <v>1530.89</v>
      </c>
    </row>
    <row r="4704" spans="1:6" hidden="1" x14ac:dyDescent="0.25">
      <c r="A4704" t="s">
        <v>660</v>
      </c>
      <c r="B4704" t="s">
        <v>90</v>
      </c>
      <c r="E4704" s="3">
        <f>HYPERLINK("https://sao.dolgi.msk.ru/account/1404253762/", 1404253762)</f>
        <v>1404253762</v>
      </c>
      <c r="F4704">
        <v>0</v>
      </c>
    </row>
    <row r="4705" spans="1:6" x14ac:dyDescent="0.25">
      <c r="A4705" t="s">
        <v>660</v>
      </c>
      <c r="B4705" t="s">
        <v>91</v>
      </c>
      <c r="C4705" s="5" t="str">
        <f>" кв. "&amp;B4705</f>
        <v xml:space="preserve"> кв. 87</v>
      </c>
      <c r="D4705" s="5" t="str">
        <f>CONCATENATE(A4705,C4705)</f>
        <v>Валдайский пр., дом 12 кв. 87</v>
      </c>
      <c r="E4705" s="3">
        <f>HYPERLINK("https://sao.dolgi.msk.ru/account/1404251679/", 1404251679)</f>
        <v>1404251679</v>
      </c>
      <c r="F4705">
        <v>1110.21</v>
      </c>
    </row>
    <row r="4706" spans="1:6" hidden="1" x14ac:dyDescent="0.25">
      <c r="A4706" t="s">
        <v>660</v>
      </c>
      <c r="B4706" t="s">
        <v>92</v>
      </c>
      <c r="E4706" s="3">
        <f>HYPERLINK("https://sao.dolgi.msk.ru/account/1404251687/", 1404251687)</f>
        <v>1404251687</v>
      </c>
      <c r="F4706">
        <v>-1594.62</v>
      </c>
    </row>
    <row r="4707" spans="1:6" x14ac:dyDescent="0.25">
      <c r="A4707" t="s">
        <v>660</v>
      </c>
      <c r="B4707" t="s">
        <v>93</v>
      </c>
      <c r="C4707" s="5" t="str">
        <f t="shared" ref="C4707:C4708" si="227">" кв. "&amp;B4707</f>
        <v xml:space="preserve"> кв. 89</v>
      </c>
      <c r="D4707" s="5" t="str">
        <f>CONCATENATE(A4707,C4707)</f>
        <v>Валдайский пр., дом 12 кв. 89</v>
      </c>
      <c r="E4707" s="3">
        <f>HYPERLINK("https://sao.dolgi.msk.ru/account/1404252217/", 1404252217)</f>
        <v>1404252217</v>
      </c>
      <c r="F4707">
        <v>550.36</v>
      </c>
    </row>
    <row r="4708" spans="1:6" x14ac:dyDescent="0.25">
      <c r="A4708" t="s">
        <v>660</v>
      </c>
      <c r="B4708" t="s">
        <v>93</v>
      </c>
      <c r="C4708" s="5" t="str">
        <f t="shared" si="227"/>
        <v xml:space="preserve"> кв. 89</v>
      </c>
      <c r="D4708" s="5" t="str">
        <f>CONCATENATE(A4708,C4708)</f>
        <v>Валдайский пр., дом 12 кв. 89</v>
      </c>
      <c r="E4708" s="3">
        <f>HYPERLINK("https://sao.dolgi.msk.ru/account/1404252225/", 1404252225)</f>
        <v>1404252225</v>
      </c>
      <c r="F4708">
        <v>550.36</v>
      </c>
    </row>
    <row r="4709" spans="1:6" hidden="1" x14ac:dyDescent="0.25">
      <c r="A4709" t="s">
        <v>660</v>
      </c>
      <c r="B4709" t="s">
        <v>94</v>
      </c>
      <c r="E4709" s="3">
        <f>HYPERLINK("https://sao.dolgi.msk.ru/account/1404251943/", 1404251943)</f>
        <v>1404251943</v>
      </c>
      <c r="F4709">
        <v>-1342.94</v>
      </c>
    </row>
    <row r="4710" spans="1:6" hidden="1" x14ac:dyDescent="0.25">
      <c r="A4710" t="s">
        <v>660</v>
      </c>
      <c r="B4710" t="s">
        <v>95</v>
      </c>
      <c r="E4710" s="3">
        <f>HYPERLINK("https://sao.dolgi.msk.ru/account/1404252946/", 1404252946)</f>
        <v>1404252946</v>
      </c>
      <c r="F4710">
        <v>-1358.51</v>
      </c>
    </row>
    <row r="4711" spans="1:6" hidden="1" x14ac:dyDescent="0.25">
      <c r="A4711" t="s">
        <v>660</v>
      </c>
      <c r="B4711" t="s">
        <v>96</v>
      </c>
      <c r="E4711" s="3">
        <f>HYPERLINK("https://sao.dolgi.msk.ru/account/1404252524/", 1404252524)</f>
        <v>1404252524</v>
      </c>
      <c r="F4711">
        <v>-2195.4899999999998</v>
      </c>
    </row>
    <row r="4712" spans="1:6" hidden="1" x14ac:dyDescent="0.25">
      <c r="A4712" t="s">
        <v>660</v>
      </c>
      <c r="B4712" t="s">
        <v>97</v>
      </c>
      <c r="E4712" s="3">
        <f>HYPERLINK("https://sao.dolgi.msk.ru/account/1404251695/", 1404251695)</f>
        <v>1404251695</v>
      </c>
      <c r="F4712">
        <v>-2274.06</v>
      </c>
    </row>
    <row r="4713" spans="1:6" x14ac:dyDescent="0.25">
      <c r="A4713" t="s">
        <v>660</v>
      </c>
      <c r="B4713" t="s">
        <v>98</v>
      </c>
      <c r="C4713" s="5" t="str">
        <f>" кв. "&amp;B4713</f>
        <v xml:space="preserve"> кв. 94</v>
      </c>
      <c r="D4713" s="5" t="str">
        <f>CONCATENATE(A4713,C4713)</f>
        <v>Валдайский пр., дом 12 кв. 94</v>
      </c>
      <c r="E4713" s="3">
        <f>HYPERLINK("https://sao.dolgi.msk.ru/account/1404253439/", 1404253439)</f>
        <v>1404253439</v>
      </c>
      <c r="F4713">
        <v>1521.4</v>
      </c>
    </row>
    <row r="4714" spans="1:6" hidden="1" x14ac:dyDescent="0.25">
      <c r="A4714" t="s">
        <v>660</v>
      </c>
      <c r="B4714" t="s">
        <v>99</v>
      </c>
      <c r="E4714" s="3">
        <f>HYPERLINK("https://sao.dolgi.msk.ru/account/1404253447/", 1404253447)</f>
        <v>1404253447</v>
      </c>
      <c r="F4714">
        <v>0</v>
      </c>
    </row>
    <row r="4715" spans="1:6" hidden="1" x14ac:dyDescent="0.25">
      <c r="A4715" t="s">
        <v>660</v>
      </c>
      <c r="B4715" t="s">
        <v>100</v>
      </c>
      <c r="E4715" s="3">
        <f>HYPERLINK("https://sao.dolgi.msk.ru/account/1404254108/", 1404254108)</f>
        <v>1404254108</v>
      </c>
      <c r="F4715">
        <v>-1358.51</v>
      </c>
    </row>
    <row r="4716" spans="1:6" x14ac:dyDescent="0.25">
      <c r="A4716" t="s">
        <v>660</v>
      </c>
      <c r="B4716" t="s">
        <v>101</v>
      </c>
      <c r="C4716" s="5" t="str">
        <f t="shared" ref="C4716:C4717" si="228">" кв. "&amp;B4716</f>
        <v xml:space="preserve"> кв. 97</v>
      </c>
      <c r="D4716" s="5" t="str">
        <f>CONCATENATE(A4716,C4716)</f>
        <v>Валдайский пр., дом 12 кв. 97</v>
      </c>
      <c r="E4716" s="3">
        <f>HYPERLINK("https://sao.dolgi.msk.ru/account/1404251708/", 1404251708)</f>
        <v>1404251708</v>
      </c>
      <c r="F4716">
        <v>1088.07</v>
      </c>
    </row>
    <row r="4717" spans="1:6" x14ac:dyDescent="0.25">
      <c r="A4717" t="s">
        <v>660</v>
      </c>
      <c r="B4717" t="s">
        <v>102</v>
      </c>
      <c r="C4717" s="5" t="str">
        <f t="shared" si="228"/>
        <v xml:space="preserve"> кв. 98</v>
      </c>
      <c r="D4717" s="5" t="str">
        <f>CONCATENATE(A4717,C4717)</f>
        <v>Валдайский пр., дом 12 кв. 98</v>
      </c>
      <c r="E4717" s="3">
        <f>HYPERLINK("https://sao.dolgi.msk.ru/account/1404254116/", 1404254116)</f>
        <v>1404254116</v>
      </c>
      <c r="F4717">
        <v>572.5</v>
      </c>
    </row>
    <row r="4718" spans="1:6" hidden="1" x14ac:dyDescent="0.25">
      <c r="A4718" t="s">
        <v>660</v>
      </c>
      <c r="B4718" t="s">
        <v>103</v>
      </c>
      <c r="E4718" s="3">
        <f>HYPERLINK("https://sao.dolgi.msk.ru/account/1404252532/", 1404252532)</f>
        <v>1404252532</v>
      </c>
      <c r="F4718">
        <v>-2900.28</v>
      </c>
    </row>
    <row r="4719" spans="1:6" x14ac:dyDescent="0.25">
      <c r="A4719" t="s">
        <v>660</v>
      </c>
      <c r="B4719" t="s">
        <v>104</v>
      </c>
      <c r="C4719" s="5" t="str">
        <f>" кв. "&amp;B4719</f>
        <v xml:space="preserve"> кв. 100</v>
      </c>
      <c r="D4719" s="5" t="str">
        <f>CONCATENATE(A4719,C4719)</f>
        <v>Валдайский пр., дом 12 кв. 100</v>
      </c>
      <c r="E4719" s="3">
        <f>HYPERLINK("https://sao.dolgi.msk.ru/account/1404254079/", 1404254079)</f>
        <v>1404254079</v>
      </c>
      <c r="F4719">
        <v>1103.8900000000001</v>
      </c>
    </row>
    <row r="4720" spans="1:6" hidden="1" x14ac:dyDescent="0.25">
      <c r="A4720" t="s">
        <v>660</v>
      </c>
      <c r="B4720" t="s">
        <v>105</v>
      </c>
      <c r="E4720" s="3">
        <f>HYPERLINK("https://sao.dolgi.msk.ru/account/1404251919/", 1404251919)</f>
        <v>1404251919</v>
      </c>
      <c r="F4720">
        <v>-1100.06</v>
      </c>
    </row>
    <row r="4721" spans="1:6" x14ac:dyDescent="0.25">
      <c r="A4721" t="s">
        <v>660</v>
      </c>
      <c r="B4721" t="s">
        <v>106</v>
      </c>
      <c r="C4721" s="5" t="str">
        <f t="shared" ref="C4721:C4723" si="229">" кв. "&amp;B4721</f>
        <v xml:space="preserve"> кв. 102</v>
      </c>
      <c r="D4721" s="5" t="str">
        <f>CONCATENATE(A4721,C4721)</f>
        <v>Валдайский пр., дом 12 кв. 102</v>
      </c>
      <c r="E4721" s="3">
        <f>HYPERLINK("https://sao.dolgi.msk.ru/account/1404252903/", 1404252903)</f>
        <v>1404252903</v>
      </c>
      <c r="F4721">
        <v>524.79999999999995</v>
      </c>
    </row>
    <row r="4722" spans="1:6" x14ac:dyDescent="0.25">
      <c r="A4722" t="s">
        <v>660</v>
      </c>
      <c r="B4722" t="s">
        <v>106</v>
      </c>
      <c r="C4722" s="5" t="str">
        <f t="shared" si="229"/>
        <v xml:space="preserve"> кв. 102</v>
      </c>
      <c r="D4722" s="5" t="str">
        <f>CONCATENATE(A4722,C4722)</f>
        <v>Валдайский пр., дом 12 кв. 102</v>
      </c>
      <c r="E4722" s="3">
        <f>HYPERLINK("https://sao.dolgi.msk.ru/account/1404253383/", 1404253383)</f>
        <v>1404253383</v>
      </c>
      <c r="F4722">
        <v>509.37</v>
      </c>
    </row>
    <row r="4723" spans="1:6" x14ac:dyDescent="0.25">
      <c r="A4723" t="s">
        <v>660</v>
      </c>
      <c r="B4723" t="s">
        <v>106</v>
      </c>
      <c r="C4723" s="5" t="str">
        <f t="shared" si="229"/>
        <v xml:space="preserve"> кв. 102</v>
      </c>
      <c r="D4723" s="5" t="str">
        <f>CONCATENATE(A4723,C4723)</f>
        <v>Валдайский пр., дом 12 кв. 102</v>
      </c>
      <c r="E4723" s="3">
        <f>HYPERLINK("https://sao.dolgi.msk.ru/account/1404254087/", 1404254087)</f>
        <v>1404254087</v>
      </c>
      <c r="F4723">
        <v>509.37</v>
      </c>
    </row>
    <row r="4724" spans="1:6" hidden="1" x14ac:dyDescent="0.25">
      <c r="A4724" t="s">
        <v>660</v>
      </c>
      <c r="B4724" t="s">
        <v>107</v>
      </c>
      <c r="E4724" s="3">
        <f>HYPERLINK("https://sao.dolgi.msk.ru/account/1404251927/", 1404251927)</f>
        <v>1404251927</v>
      </c>
      <c r="F4724">
        <v>-2246.3200000000002</v>
      </c>
    </row>
    <row r="4725" spans="1:6" hidden="1" x14ac:dyDescent="0.25">
      <c r="A4725" t="s">
        <v>660</v>
      </c>
      <c r="B4725" t="s">
        <v>108</v>
      </c>
      <c r="E4725" s="3">
        <f>HYPERLINK("https://sao.dolgi.msk.ru/account/1404254095/", 1404254095)</f>
        <v>1404254095</v>
      </c>
      <c r="F4725">
        <v>-2232.4499999999998</v>
      </c>
    </row>
    <row r="4726" spans="1:6" hidden="1" x14ac:dyDescent="0.25">
      <c r="A4726" t="s">
        <v>660</v>
      </c>
      <c r="B4726" t="s">
        <v>109</v>
      </c>
      <c r="E4726" s="3">
        <f>HYPERLINK("https://sao.dolgi.msk.ru/account/1404254327/", 1404254327)</f>
        <v>1404254327</v>
      </c>
      <c r="F4726">
        <v>0</v>
      </c>
    </row>
    <row r="4727" spans="1:6" x14ac:dyDescent="0.25">
      <c r="A4727" t="s">
        <v>660</v>
      </c>
      <c r="B4727" t="s">
        <v>110</v>
      </c>
      <c r="C4727" s="5" t="str">
        <f>" кв. "&amp;B4727</f>
        <v xml:space="preserve"> кв. 106</v>
      </c>
      <c r="D4727" s="5" t="str">
        <f>CONCATENATE(A4727,C4727)</f>
        <v>Валдайский пр., дом 12 кв. 106</v>
      </c>
      <c r="E4727" s="3">
        <f>HYPERLINK("https://sao.dolgi.msk.ru/account/1404252196/", 1404252196)</f>
        <v>1404252196</v>
      </c>
      <c r="F4727">
        <v>1091.24</v>
      </c>
    </row>
    <row r="4728" spans="1:6" hidden="1" x14ac:dyDescent="0.25">
      <c r="A4728" t="s">
        <v>660</v>
      </c>
      <c r="B4728" t="s">
        <v>111</v>
      </c>
      <c r="E4728" s="3">
        <f>HYPERLINK("https://sao.dolgi.msk.ru/account/1404251935/", 1404251935)</f>
        <v>1404251935</v>
      </c>
      <c r="F4728">
        <v>0</v>
      </c>
    </row>
    <row r="4729" spans="1:6" x14ac:dyDescent="0.25">
      <c r="A4729" t="s">
        <v>660</v>
      </c>
      <c r="B4729" t="s">
        <v>112</v>
      </c>
      <c r="C4729" s="5" t="str">
        <f>" кв. "&amp;B4729</f>
        <v xml:space="preserve"> кв. 108</v>
      </c>
      <c r="D4729" s="5" t="str">
        <f>CONCATENATE(A4729,C4729)</f>
        <v>Валдайский пр., дом 12 кв. 108</v>
      </c>
      <c r="E4729" s="3">
        <f>HYPERLINK("https://sao.dolgi.msk.ru/account/1404254001/", 1404254001)</f>
        <v>1404254001</v>
      </c>
      <c r="F4729">
        <v>1656.25</v>
      </c>
    </row>
    <row r="4730" spans="1:6" hidden="1" x14ac:dyDescent="0.25">
      <c r="A4730" t="s">
        <v>660</v>
      </c>
      <c r="B4730" t="s">
        <v>113</v>
      </c>
      <c r="E4730" s="3">
        <f>HYPERLINK("https://sao.dolgi.msk.ru/account/1404253391/", 1404253391)</f>
        <v>1404253391</v>
      </c>
      <c r="F4730">
        <v>-0.49</v>
      </c>
    </row>
    <row r="4731" spans="1:6" hidden="1" x14ac:dyDescent="0.25">
      <c r="A4731" t="s">
        <v>660</v>
      </c>
      <c r="B4731" t="s">
        <v>114</v>
      </c>
      <c r="E4731" s="3">
        <f>HYPERLINK("https://sao.dolgi.msk.ru/account/1404252911/", 1404252911)</f>
        <v>1404252911</v>
      </c>
      <c r="F4731">
        <v>-1429.96</v>
      </c>
    </row>
    <row r="4732" spans="1:6" hidden="1" x14ac:dyDescent="0.25">
      <c r="A4732" t="s">
        <v>660</v>
      </c>
      <c r="B4732" t="s">
        <v>115</v>
      </c>
      <c r="E4732" s="3">
        <f>HYPERLINK("https://sao.dolgi.msk.ru/account/1404252516/", 1404252516)</f>
        <v>1404252516</v>
      </c>
      <c r="F4732">
        <v>-1425.85</v>
      </c>
    </row>
    <row r="4733" spans="1:6" x14ac:dyDescent="0.25">
      <c r="A4733" t="s">
        <v>660</v>
      </c>
      <c r="B4733" t="s">
        <v>116</v>
      </c>
      <c r="C4733" s="5" t="str">
        <f t="shared" ref="C4733:C4735" si="230">" кв. "&amp;B4733</f>
        <v xml:space="preserve"> кв. 112</v>
      </c>
      <c r="D4733" s="5" t="str">
        <f>CONCATENATE(A4733,C4733)</f>
        <v>Валдайский пр., дом 12 кв. 112</v>
      </c>
      <c r="E4733" s="3">
        <f>HYPERLINK("https://sao.dolgi.msk.ru/account/1404253404/", 1404253404)</f>
        <v>1404253404</v>
      </c>
      <c r="F4733">
        <v>924.85</v>
      </c>
    </row>
    <row r="4734" spans="1:6" x14ac:dyDescent="0.25">
      <c r="A4734" t="s">
        <v>660</v>
      </c>
      <c r="B4734" t="s">
        <v>117</v>
      </c>
      <c r="C4734" s="5" t="str">
        <f t="shared" si="230"/>
        <v xml:space="preserve"> кв. 113</v>
      </c>
      <c r="D4734" s="5" t="str">
        <f>CONCATENATE(A4734,C4734)</f>
        <v>Валдайский пр., дом 12 кв. 113</v>
      </c>
      <c r="E4734" s="3">
        <f>HYPERLINK("https://sao.dolgi.msk.ru/account/1404253412/", 1404253412)</f>
        <v>1404253412</v>
      </c>
      <c r="F4734">
        <v>927.5</v>
      </c>
    </row>
    <row r="4735" spans="1:6" x14ac:dyDescent="0.25">
      <c r="A4735" t="s">
        <v>660</v>
      </c>
      <c r="B4735" t="s">
        <v>118</v>
      </c>
      <c r="C4735" s="5" t="str">
        <f t="shared" si="230"/>
        <v xml:space="preserve"> кв. 114</v>
      </c>
      <c r="D4735" s="5" t="str">
        <f>CONCATENATE(A4735,C4735)</f>
        <v>Валдайский пр., дом 12 кв. 114</v>
      </c>
      <c r="E4735" s="3">
        <f>HYPERLINK("https://sao.dolgi.msk.ru/account/1404252209/", 1404252209)</f>
        <v>1404252209</v>
      </c>
      <c r="F4735">
        <v>1285.25</v>
      </c>
    </row>
    <row r="4736" spans="1:6" hidden="1" x14ac:dyDescent="0.25">
      <c r="A4736" t="s">
        <v>660</v>
      </c>
      <c r="B4736" t="s">
        <v>119</v>
      </c>
      <c r="E4736" s="3">
        <f>HYPERLINK("https://sao.dolgi.msk.ru/account/1404253746/", 1404253746)</f>
        <v>1404253746</v>
      </c>
      <c r="F4736">
        <v>-1635.68</v>
      </c>
    </row>
    <row r="4737" spans="1:6" hidden="1" x14ac:dyDescent="0.25">
      <c r="A4737" t="s">
        <v>660</v>
      </c>
      <c r="B4737" t="s">
        <v>120</v>
      </c>
      <c r="E4737" s="3">
        <f>HYPERLINK("https://sao.dolgi.msk.ru/account/1404252495/", 1404252495)</f>
        <v>1404252495</v>
      </c>
      <c r="F4737">
        <v>0</v>
      </c>
    </row>
    <row r="4738" spans="1:6" hidden="1" x14ac:dyDescent="0.25">
      <c r="A4738" t="s">
        <v>660</v>
      </c>
      <c r="B4738" t="s">
        <v>121</v>
      </c>
      <c r="E4738" s="3">
        <f>HYPERLINK("https://sao.dolgi.msk.ru/account/1404251898/", 1404251898)</f>
        <v>1404251898</v>
      </c>
      <c r="F4738">
        <v>-509.22</v>
      </c>
    </row>
    <row r="4739" spans="1:6" hidden="1" x14ac:dyDescent="0.25">
      <c r="A4739" t="s">
        <v>660</v>
      </c>
      <c r="B4739" t="s">
        <v>122</v>
      </c>
      <c r="E4739" s="3">
        <f>HYPERLINK("https://sao.dolgi.msk.ru/account/1404254028/", 1404254028)</f>
        <v>1404254028</v>
      </c>
      <c r="F4739">
        <v>-1622.35</v>
      </c>
    </row>
    <row r="4740" spans="1:6" hidden="1" x14ac:dyDescent="0.25">
      <c r="A4740" t="s">
        <v>660</v>
      </c>
      <c r="B4740" t="s">
        <v>123</v>
      </c>
      <c r="E4740" s="3">
        <f>HYPERLINK("https://sao.dolgi.msk.ru/account/1404253308/", 1404253308)</f>
        <v>1404253308</v>
      </c>
      <c r="F4740">
        <v>-2232.4499999999998</v>
      </c>
    </row>
    <row r="4741" spans="1:6" hidden="1" x14ac:dyDescent="0.25">
      <c r="A4741" t="s">
        <v>660</v>
      </c>
      <c r="B4741" t="s">
        <v>124</v>
      </c>
      <c r="E4741" s="3">
        <f>HYPERLINK("https://sao.dolgi.msk.ru/account/1404252452/", 1404252452)</f>
        <v>1404252452</v>
      </c>
      <c r="F4741">
        <v>0</v>
      </c>
    </row>
    <row r="4742" spans="1:6" hidden="1" x14ac:dyDescent="0.25">
      <c r="A4742" t="s">
        <v>660</v>
      </c>
      <c r="B4742" t="s">
        <v>125</v>
      </c>
      <c r="E4742" s="3">
        <f>HYPERLINK("https://sao.dolgi.msk.ru/account/1404254036/", 1404254036)</f>
        <v>1404254036</v>
      </c>
      <c r="F4742">
        <v>-1327.48</v>
      </c>
    </row>
    <row r="4743" spans="1:6" hidden="1" x14ac:dyDescent="0.25">
      <c r="A4743" t="s">
        <v>660</v>
      </c>
      <c r="B4743" t="s">
        <v>126</v>
      </c>
      <c r="E4743" s="3">
        <f>HYPERLINK("https://sao.dolgi.msk.ru/account/1404253682/", 1404253682)</f>
        <v>1404253682</v>
      </c>
      <c r="F4743">
        <v>-2232.4499999999998</v>
      </c>
    </row>
    <row r="4744" spans="1:6" hidden="1" x14ac:dyDescent="0.25">
      <c r="A4744" t="s">
        <v>660</v>
      </c>
      <c r="B4744" t="s">
        <v>127</v>
      </c>
      <c r="E4744" s="3">
        <f>HYPERLINK("https://sao.dolgi.msk.ru/account/1404253316/", 1404253316)</f>
        <v>1404253316</v>
      </c>
      <c r="F4744">
        <v>-1645.45</v>
      </c>
    </row>
    <row r="4745" spans="1:6" hidden="1" x14ac:dyDescent="0.25">
      <c r="A4745" t="s">
        <v>660</v>
      </c>
      <c r="B4745" t="s">
        <v>128</v>
      </c>
      <c r="E4745" s="3">
        <f>HYPERLINK("https://sao.dolgi.msk.ru/account/1404251636/", 1404251636)</f>
        <v>1404251636</v>
      </c>
      <c r="F4745">
        <v>0</v>
      </c>
    </row>
    <row r="4746" spans="1:6" x14ac:dyDescent="0.25">
      <c r="A4746" t="s">
        <v>660</v>
      </c>
      <c r="B4746" t="s">
        <v>129</v>
      </c>
      <c r="C4746" s="5" t="str">
        <f t="shared" ref="C4746:C4747" si="231">" кв. "&amp;B4746</f>
        <v xml:space="preserve"> кв. 125</v>
      </c>
      <c r="D4746" s="5" t="str">
        <f>CONCATENATE(A4746,C4746)</f>
        <v>Валдайский пр., дом 12 кв. 125</v>
      </c>
      <c r="E4746" s="3">
        <f>HYPERLINK("https://sao.dolgi.msk.ru/account/1404253324/", 1404253324)</f>
        <v>1404253324</v>
      </c>
      <c r="F4746">
        <v>1103.8900000000001</v>
      </c>
    </row>
    <row r="4747" spans="1:6" x14ac:dyDescent="0.25">
      <c r="A4747" t="s">
        <v>660</v>
      </c>
      <c r="B4747" t="s">
        <v>130</v>
      </c>
      <c r="C4747" s="5" t="str">
        <f t="shared" si="231"/>
        <v xml:space="preserve"> кв. 126</v>
      </c>
      <c r="D4747" s="5" t="str">
        <f>CONCATENATE(A4747,C4747)</f>
        <v>Валдайский пр., дом 12 кв. 126</v>
      </c>
      <c r="E4747" s="3">
        <f>HYPERLINK("https://sao.dolgi.msk.ru/account/1404251847/", 1404251847)</f>
        <v>1404251847</v>
      </c>
      <c r="F4747">
        <v>1100.72</v>
      </c>
    </row>
    <row r="4748" spans="1:6" hidden="1" x14ac:dyDescent="0.25">
      <c r="A4748" t="s">
        <v>660</v>
      </c>
      <c r="B4748" t="s">
        <v>131</v>
      </c>
      <c r="E4748" s="3">
        <f>HYPERLINK("https://sao.dolgi.msk.ru/account/1404253703/", 1404253703)</f>
        <v>1404253703</v>
      </c>
      <c r="F4748">
        <v>0</v>
      </c>
    </row>
    <row r="4749" spans="1:6" hidden="1" x14ac:dyDescent="0.25">
      <c r="A4749" t="s">
        <v>660</v>
      </c>
      <c r="B4749" t="s">
        <v>132</v>
      </c>
      <c r="E4749" s="3">
        <f>HYPERLINK("https://sao.dolgi.msk.ru/account/1404252874/", 1404252874)</f>
        <v>1404252874</v>
      </c>
      <c r="F4749">
        <v>-2227.85</v>
      </c>
    </row>
    <row r="4750" spans="1:6" hidden="1" x14ac:dyDescent="0.25">
      <c r="A4750" t="s">
        <v>660</v>
      </c>
      <c r="B4750" t="s">
        <v>133</v>
      </c>
      <c r="E4750" s="3">
        <f>HYPERLINK("https://sao.dolgi.msk.ru/account/1404252161/", 1404252161)</f>
        <v>1404252161</v>
      </c>
      <c r="F4750">
        <v>-1235.31</v>
      </c>
    </row>
    <row r="4751" spans="1:6" hidden="1" x14ac:dyDescent="0.25">
      <c r="A4751" t="s">
        <v>660</v>
      </c>
      <c r="B4751" t="s">
        <v>134</v>
      </c>
      <c r="E4751" s="3">
        <f>HYPERLINK("https://sao.dolgi.msk.ru/account/1404253711/", 1404253711)</f>
        <v>1404253711</v>
      </c>
      <c r="F4751">
        <v>0</v>
      </c>
    </row>
    <row r="4752" spans="1:6" hidden="1" x14ac:dyDescent="0.25">
      <c r="A4752" t="s">
        <v>660</v>
      </c>
      <c r="B4752" t="s">
        <v>135</v>
      </c>
      <c r="E4752" s="3">
        <f>HYPERLINK("https://sao.dolgi.msk.ru/account/1404252882/", 1404252882)</f>
        <v>1404252882</v>
      </c>
      <c r="F4752">
        <v>-1453.39</v>
      </c>
    </row>
    <row r="4753" spans="1:6" hidden="1" x14ac:dyDescent="0.25">
      <c r="A4753" t="s">
        <v>660</v>
      </c>
      <c r="B4753" t="s">
        <v>136</v>
      </c>
      <c r="E4753" s="3">
        <f>HYPERLINK("https://sao.dolgi.msk.ru/account/1404254044/", 1404254044)</f>
        <v>1404254044</v>
      </c>
      <c r="F4753">
        <v>-868.96</v>
      </c>
    </row>
    <row r="4754" spans="1:6" hidden="1" x14ac:dyDescent="0.25">
      <c r="A4754" t="s">
        <v>660</v>
      </c>
      <c r="B4754" t="s">
        <v>137</v>
      </c>
      <c r="E4754" s="3">
        <f>HYPERLINK("https://sao.dolgi.msk.ru/account/1404253332/", 1404253332)</f>
        <v>1404253332</v>
      </c>
      <c r="F4754">
        <v>-1608.48</v>
      </c>
    </row>
    <row r="4755" spans="1:6" hidden="1" x14ac:dyDescent="0.25">
      <c r="A4755" t="s">
        <v>660</v>
      </c>
      <c r="B4755" t="s">
        <v>138</v>
      </c>
      <c r="E4755" s="3">
        <f>HYPERLINK("https://sao.dolgi.msk.ru/account/1404253359/", 1404253359)</f>
        <v>1404253359</v>
      </c>
      <c r="F4755">
        <v>0</v>
      </c>
    </row>
    <row r="4756" spans="1:6" hidden="1" x14ac:dyDescent="0.25">
      <c r="A4756" t="s">
        <v>660</v>
      </c>
      <c r="B4756" t="s">
        <v>139</v>
      </c>
      <c r="E4756" s="3">
        <f>HYPERLINK("https://sao.dolgi.msk.ru/account/1404251863/", 1404251863)</f>
        <v>1404251863</v>
      </c>
      <c r="F4756">
        <v>-1608.48</v>
      </c>
    </row>
    <row r="4757" spans="1:6" hidden="1" x14ac:dyDescent="0.25">
      <c r="A4757" t="s">
        <v>660</v>
      </c>
      <c r="B4757" t="s">
        <v>140</v>
      </c>
      <c r="E4757" s="3">
        <f>HYPERLINK("https://sao.dolgi.msk.ru/account/1404252479/", 1404252479)</f>
        <v>1404252479</v>
      </c>
      <c r="F4757">
        <v>-1636.22</v>
      </c>
    </row>
    <row r="4758" spans="1:6" hidden="1" x14ac:dyDescent="0.25">
      <c r="A4758" t="s">
        <v>660</v>
      </c>
      <c r="B4758" t="s">
        <v>141</v>
      </c>
      <c r="E4758" s="3">
        <f>HYPERLINK("https://sao.dolgi.msk.ru/account/1404252188/", 1404252188)</f>
        <v>1404252188</v>
      </c>
      <c r="F4758">
        <v>-2232.4499999999998</v>
      </c>
    </row>
    <row r="4759" spans="1:6" hidden="1" x14ac:dyDescent="0.25">
      <c r="A4759" t="s">
        <v>660</v>
      </c>
      <c r="B4759" t="s">
        <v>142</v>
      </c>
      <c r="E4759" s="3">
        <f>HYPERLINK("https://sao.dolgi.msk.ru/account/1404251871/", 1404251871)</f>
        <v>1404251871</v>
      </c>
      <c r="F4759">
        <v>0</v>
      </c>
    </row>
    <row r="4760" spans="1:6" hidden="1" x14ac:dyDescent="0.25">
      <c r="A4760" t="s">
        <v>660</v>
      </c>
      <c r="B4760" t="s">
        <v>143</v>
      </c>
      <c r="E4760" s="3">
        <f>HYPERLINK("https://sao.dolgi.msk.ru/account/1404254052/", 1404254052)</f>
        <v>1404254052</v>
      </c>
      <c r="F4760">
        <v>-1919.02</v>
      </c>
    </row>
    <row r="4761" spans="1:6" hidden="1" x14ac:dyDescent="0.25">
      <c r="A4761" t="s">
        <v>660</v>
      </c>
      <c r="B4761" t="s">
        <v>144</v>
      </c>
      <c r="E4761" s="3">
        <f>HYPERLINK("https://sao.dolgi.msk.ru/account/1404251644/", 1404251644)</f>
        <v>1404251644</v>
      </c>
      <c r="F4761">
        <v>-2204.73</v>
      </c>
    </row>
    <row r="4762" spans="1:6" hidden="1" x14ac:dyDescent="0.25">
      <c r="A4762" t="s">
        <v>660</v>
      </c>
      <c r="B4762" t="s">
        <v>145</v>
      </c>
      <c r="E4762" s="3">
        <f>HYPERLINK("https://sao.dolgi.msk.ru/account/1404252487/", 1404252487)</f>
        <v>1404252487</v>
      </c>
      <c r="F4762">
        <v>-1626.98</v>
      </c>
    </row>
    <row r="4763" spans="1:6" x14ac:dyDescent="0.25">
      <c r="A4763" t="s">
        <v>660</v>
      </c>
      <c r="B4763" t="s">
        <v>146</v>
      </c>
      <c r="C4763" s="5" t="str">
        <f>" кв. "&amp;B4763</f>
        <v xml:space="preserve"> кв. 142</v>
      </c>
      <c r="D4763" s="5" t="str">
        <f>CONCATENATE(A4763,C4763)</f>
        <v>Валдайский пр., дом 12 кв. 142</v>
      </c>
      <c r="E4763" s="3">
        <f>HYPERLINK("https://sao.dolgi.msk.ru/account/1404253738/", 1404253738)</f>
        <v>1404253738</v>
      </c>
      <c r="F4763">
        <v>1100.72</v>
      </c>
    </row>
    <row r="4764" spans="1:6" hidden="1" x14ac:dyDescent="0.25">
      <c r="A4764" t="s">
        <v>660</v>
      </c>
      <c r="B4764" t="s">
        <v>147</v>
      </c>
      <c r="E4764" s="3">
        <f>HYPERLINK("https://sao.dolgi.msk.ru/account/1404254183/", 1404254183)</f>
        <v>1404254183</v>
      </c>
      <c r="F4764">
        <v>0</v>
      </c>
    </row>
    <row r="4765" spans="1:6" hidden="1" x14ac:dyDescent="0.25">
      <c r="A4765" t="s">
        <v>660</v>
      </c>
      <c r="B4765" t="s">
        <v>148</v>
      </c>
      <c r="E4765" s="3">
        <f>HYPERLINK("https://sao.dolgi.msk.ru/account/1404254191/", 1404254191)</f>
        <v>1404254191</v>
      </c>
      <c r="F4765">
        <v>-1608.48</v>
      </c>
    </row>
    <row r="4766" spans="1:6" hidden="1" x14ac:dyDescent="0.25">
      <c r="A4766" t="s">
        <v>660</v>
      </c>
      <c r="B4766" t="s">
        <v>149</v>
      </c>
      <c r="E4766" s="3">
        <f>HYPERLINK("https://sao.dolgi.msk.ru/account/1404253594/", 1404253594)</f>
        <v>1404253594</v>
      </c>
      <c r="F4766">
        <v>-1622.35</v>
      </c>
    </row>
    <row r="4767" spans="1:6" hidden="1" x14ac:dyDescent="0.25">
      <c r="A4767" t="s">
        <v>660</v>
      </c>
      <c r="B4767" t="s">
        <v>150</v>
      </c>
      <c r="E4767" s="3">
        <f>HYPERLINK("https://sao.dolgi.msk.ru/account/1404254255/", 1404254255)</f>
        <v>1404254255</v>
      </c>
      <c r="F4767">
        <v>-1469.81</v>
      </c>
    </row>
    <row r="4768" spans="1:6" hidden="1" x14ac:dyDescent="0.25">
      <c r="A4768" t="s">
        <v>660</v>
      </c>
      <c r="B4768" t="s">
        <v>151</v>
      </c>
      <c r="E4768" s="3">
        <f>HYPERLINK("https://sao.dolgi.msk.ru/account/1404252372/", 1404252372)</f>
        <v>1404252372</v>
      </c>
      <c r="F4768">
        <v>-2014.82</v>
      </c>
    </row>
    <row r="4769" spans="1:6" hidden="1" x14ac:dyDescent="0.25">
      <c r="A4769" t="s">
        <v>660</v>
      </c>
      <c r="B4769" t="s">
        <v>152</v>
      </c>
      <c r="E4769" s="3">
        <f>HYPERLINK("https://sao.dolgi.msk.ru/account/1404252735/", 1404252735)</f>
        <v>1404252735</v>
      </c>
      <c r="F4769">
        <v>-2264.81</v>
      </c>
    </row>
    <row r="4770" spans="1:6" x14ac:dyDescent="0.25">
      <c r="A4770" t="s">
        <v>660</v>
      </c>
      <c r="B4770" t="s">
        <v>153</v>
      </c>
      <c r="C4770" s="5" t="str">
        <f>" кв. "&amp;B4770</f>
        <v xml:space="preserve"> кв. 149</v>
      </c>
      <c r="D4770" s="5" t="str">
        <f>CONCATENATE(A4770,C4770)</f>
        <v>Валдайский пр., дом 12 кв. 149</v>
      </c>
      <c r="E4770" s="3">
        <f>HYPERLINK("https://sao.dolgi.msk.ru/account/1404252743/", 1404252743)</f>
        <v>1404252743</v>
      </c>
      <c r="F4770">
        <v>1515.08</v>
      </c>
    </row>
    <row r="4771" spans="1:6" hidden="1" x14ac:dyDescent="0.25">
      <c r="A4771" t="s">
        <v>660</v>
      </c>
      <c r="B4771" t="s">
        <v>154</v>
      </c>
      <c r="E4771" s="3">
        <f>HYPERLINK("https://sao.dolgi.msk.ru/account/1404253607/", 1404253607)</f>
        <v>1404253607</v>
      </c>
      <c r="F4771">
        <v>-835.63</v>
      </c>
    </row>
    <row r="4772" spans="1:6" x14ac:dyDescent="0.25">
      <c r="A4772" t="s">
        <v>660</v>
      </c>
      <c r="B4772" t="s">
        <v>155</v>
      </c>
      <c r="C4772" s="5" t="str">
        <f>" кв. "&amp;B4772</f>
        <v xml:space="preserve"> кв. 151</v>
      </c>
      <c r="D4772" s="5" t="str">
        <f>CONCATENATE(A4772,C4772)</f>
        <v>Валдайский пр., дом 12 кв. 151</v>
      </c>
      <c r="E4772" s="3">
        <f>HYPERLINK("https://sao.dolgi.msk.ru/account/1404252751/", 1404252751)</f>
        <v>1404252751</v>
      </c>
      <c r="F4772">
        <v>1100.72</v>
      </c>
    </row>
    <row r="4773" spans="1:6" hidden="1" x14ac:dyDescent="0.25">
      <c r="A4773" t="s">
        <v>660</v>
      </c>
      <c r="B4773" t="s">
        <v>156</v>
      </c>
      <c r="E4773" s="3">
        <f>HYPERLINK("https://sao.dolgi.msk.ru/account/1404251791/", 1404251791)</f>
        <v>1404251791</v>
      </c>
      <c r="F4773">
        <v>-855.09</v>
      </c>
    </row>
    <row r="4774" spans="1:6" hidden="1" x14ac:dyDescent="0.25">
      <c r="A4774" t="s">
        <v>660</v>
      </c>
      <c r="B4774" t="s">
        <v>157</v>
      </c>
      <c r="E4774" s="3">
        <f>HYPERLINK("https://sao.dolgi.msk.ru/account/1404253615/", 1404253615)</f>
        <v>1404253615</v>
      </c>
      <c r="F4774">
        <v>-823.46</v>
      </c>
    </row>
    <row r="4775" spans="1:6" hidden="1" x14ac:dyDescent="0.25">
      <c r="A4775" t="s">
        <v>660</v>
      </c>
      <c r="B4775" t="s">
        <v>158</v>
      </c>
      <c r="E4775" s="3">
        <f>HYPERLINK("https://sao.dolgi.msk.ru/account/1404253906/", 1404253906)</f>
        <v>1404253906</v>
      </c>
      <c r="F4775">
        <v>0</v>
      </c>
    </row>
    <row r="4776" spans="1:6" hidden="1" x14ac:dyDescent="0.25">
      <c r="A4776" t="s">
        <v>660</v>
      </c>
      <c r="B4776" t="s">
        <v>159</v>
      </c>
      <c r="E4776" s="3">
        <f>HYPERLINK("https://sao.dolgi.msk.ru/account/1404253156/", 1404253156)</f>
        <v>1404253156</v>
      </c>
      <c r="F4776">
        <v>-1474.43</v>
      </c>
    </row>
    <row r="4777" spans="1:6" hidden="1" x14ac:dyDescent="0.25">
      <c r="A4777" t="s">
        <v>660</v>
      </c>
      <c r="B4777" t="s">
        <v>160</v>
      </c>
      <c r="E4777" s="3">
        <f>HYPERLINK("https://sao.dolgi.msk.ru/account/1404252778/", 1404252778)</f>
        <v>1404252778</v>
      </c>
      <c r="F4777">
        <v>-1691.67</v>
      </c>
    </row>
    <row r="4778" spans="1:6" x14ac:dyDescent="0.25">
      <c r="A4778" t="s">
        <v>660</v>
      </c>
      <c r="B4778" t="s">
        <v>161</v>
      </c>
      <c r="C4778" s="5" t="str">
        <f>" кв. "&amp;B4778</f>
        <v xml:space="preserve"> кв. 157</v>
      </c>
      <c r="D4778" s="5" t="str">
        <f>CONCATENATE(A4778,C4778)</f>
        <v>Валдайский пр., дом 12 кв. 157</v>
      </c>
      <c r="E4778" s="3">
        <f>HYPERLINK("https://sao.dolgi.msk.ru/account/1404251804/", 1404251804)</f>
        <v>1404251804</v>
      </c>
      <c r="F4778">
        <v>1540.38</v>
      </c>
    </row>
    <row r="4779" spans="1:6" hidden="1" x14ac:dyDescent="0.25">
      <c r="A4779" t="s">
        <v>660</v>
      </c>
      <c r="B4779" t="s">
        <v>162</v>
      </c>
      <c r="E4779" s="3">
        <f>HYPERLINK("https://sao.dolgi.msk.ru/account/1404252399/", 1404252399)</f>
        <v>1404252399</v>
      </c>
      <c r="F4779">
        <v>-352.36</v>
      </c>
    </row>
    <row r="4780" spans="1:6" hidden="1" x14ac:dyDescent="0.25">
      <c r="A4780" t="s">
        <v>660</v>
      </c>
      <c r="B4780" t="s">
        <v>163</v>
      </c>
      <c r="E4780" s="3">
        <f>HYPERLINK("https://sao.dolgi.msk.ru/account/1404253623/", 1404253623)</f>
        <v>1404253623</v>
      </c>
      <c r="F4780">
        <v>-1377.96</v>
      </c>
    </row>
    <row r="4781" spans="1:6" hidden="1" x14ac:dyDescent="0.25">
      <c r="A4781" t="s">
        <v>660</v>
      </c>
      <c r="B4781" t="s">
        <v>164</v>
      </c>
      <c r="E4781" s="3">
        <f>HYPERLINK("https://sao.dolgi.msk.ru/account/1404253914/", 1404253914)</f>
        <v>1404253914</v>
      </c>
      <c r="F4781">
        <v>-855.09</v>
      </c>
    </row>
    <row r="4782" spans="1:6" x14ac:dyDescent="0.25">
      <c r="A4782" t="s">
        <v>660</v>
      </c>
      <c r="B4782" t="s">
        <v>165</v>
      </c>
      <c r="C4782" s="5" t="str">
        <f>" кв. "&amp;B4782</f>
        <v xml:space="preserve"> кв. 161</v>
      </c>
      <c r="D4782" s="5" t="str">
        <f>CONCATENATE(A4782,C4782)</f>
        <v>Валдайский пр., дом 12 кв. 161</v>
      </c>
      <c r="E4782" s="3">
        <f>HYPERLINK("https://sao.dolgi.msk.ru/account/1404254263/", 1404254263)</f>
        <v>1404254263</v>
      </c>
      <c r="F4782">
        <v>578.82000000000005</v>
      </c>
    </row>
    <row r="4783" spans="1:6" hidden="1" x14ac:dyDescent="0.25">
      <c r="A4783" t="s">
        <v>660</v>
      </c>
      <c r="B4783" t="s">
        <v>166</v>
      </c>
      <c r="E4783" s="3">
        <f>HYPERLINK("https://sao.dolgi.msk.ru/account/1404253658/", 1404253658)</f>
        <v>1404253658</v>
      </c>
      <c r="F4783">
        <v>-1603.86</v>
      </c>
    </row>
    <row r="4784" spans="1:6" hidden="1" x14ac:dyDescent="0.25">
      <c r="A4784" t="s">
        <v>660</v>
      </c>
      <c r="B4784" t="s">
        <v>167</v>
      </c>
      <c r="E4784" s="3">
        <f>HYPERLINK("https://sao.dolgi.msk.ru/account/1404252102/", 1404252102)</f>
        <v>1404252102</v>
      </c>
      <c r="F4784">
        <v>-1631.6</v>
      </c>
    </row>
    <row r="4785" spans="1:6" x14ac:dyDescent="0.25">
      <c r="A4785" t="s">
        <v>660</v>
      </c>
      <c r="B4785" t="s">
        <v>168</v>
      </c>
      <c r="C4785" s="5" t="str">
        <f t="shared" ref="C4785:C4786" si="232">" кв. "&amp;B4785</f>
        <v xml:space="preserve"> кв. 164</v>
      </c>
      <c r="D4785" s="5" t="str">
        <f>CONCATENATE(A4785,C4785)</f>
        <v>Валдайский пр., дом 12 кв. 164</v>
      </c>
      <c r="E4785" s="3">
        <f>HYPERLINK("https://sao.dolgi.msk.ru/account/1404253922/", 1404253922)</f>
        <v>1404253922</v>
      </c>
      <c r="F4785">
        <v>1524.57</v>
      </c>
    </row>
    <row r="4786" spans="1:6" x14ac:dyDescent="0.25">
      <c r="A4786" t="s">
        <v>660</v>
      </c>
      <c r="B4786" t="s">
        <v>169</v>
      </c>
      <c r="C4786" s="5" t="str">
        <f t="shared" si="232"/>
        <v xml:space="preserve"> кв. 165</v>
      </c>
      <c r="D4786" s="5" t="str">
        <f>CONCATENATE(A4786,C4786)</f>
        <v>Валдайский пр., дом 12 кв. 165</v>
      </c>
      <c r="E4786" s="3">
        <f>HYPERLINK("https://sao.dolgi.msk.ru/account/1404253164/", 1404253164)</f>
        <v>1404253164</v>
      </c>
      <c r="F4786">
        <v>876.15</v>
      </c>
    </row>
    <row r="4787" spans="1:6" hidden="1" x14ac:dyDescent="0.25">
      <c r="A4787" t="s">
        <v>660</v>
      </c>
      <c r="B4787" t="s">
        <v>170</v>
      </c>
      <c r="E4787" s="3">
        <f>HYPERLINK("https://sao.dolgi.msk.ru/account/1404253172/", 1404253172)</f>
        <v>1404253172</v>
      </c>
      <c r="F4787">
        <v>-2250.94</v>
      </c>
    </row>
    <row r="4788" spans="1:6" hidden="1" x14ac:dyDescent="0.25">
      <c r="A4788" t="s">
        <v>660</v>
      </c>
      <c r="B4788" t="s">
        <v>171</v>
      </c>
      <c r="E4788" s="3">
        <f>HYPERLINK("https://sao.dolgi.msk.ru/account/1404254271/", 1404254271)</f>
        <v>1404254271</v>
      </c>
      <c r="F4788">
        <v>-2512.36</v>
      </c>
    </row>
    <row r="4789" spans="1:6" hidden="1" x14ac:dyDescent="0.25">
      <c r="A4789" t="s">
        <v>660</v>
      </c>
      <c r="B4789" t="s">
        <v>172</v>
      </c>
      <c r="E4789" s="3">
        <f>HYPERLINK("https://sao.dolgi.msk.ru/account/1404253199/", 1404253199)</f>
        <v>1404253199</v>
      </c>
      <c r="F4789">
        <v>0</v>
      </c>
    </row>
    <row r="4790" spans="1:6" x14ac:dyDescent="0.25">
      <c r="A4790" t="s">
        <v>660</v>
      </c>
      <c r="B4790" t="s">
        <v>173</v>
      </c>
      <c r="C4790" s="5" t="str">
        <f>" кв. "&amp;B4790</f>
        <v xml:space="preserve"> кв. 169</v>
      </c>
      <c r="D4790" s="5" t="str">
        <f>CONCATENATE(A4790,C4790)</f>
        <v>Валдайский пр., дом 12 кв. 169</v>
      </c>
      <c r="E4790" s="3">
        <f>HYPERLINK("https://sao.dolgi.msk.ru/account/1404252786/", 1404252786)</f>
        <v>1404252786</v>
      </c>
      <c r="F4790">
        <v>1103.8900000000001</v>
      </c>
    </row>
    <row r="4791" spans="1:6" hidden="1" x14ac:dyDescent="0.25">
      <c r="A4791" t="s">
        <v>660</v>
      </c>
      <c r="B4791" t="s">
        <v>174</v>
      </c>
      <c r="E4791" s="3">
        <f>HYPERLINK("https://sao.dolgi.msk.ru/account/1404253201/", 1404253201)</f>
        <v>1404253201</v>
      </c>
      <c r="F4791">
        <v>-1608.48</v>
      </c>
    </row>
    <row r="4792" spans="1:6" hidden="1" x14ac:dyDescent="0.25">
      <c r="A4792" t="s">
        <v>660</v>
      </c>
      <c r="B4792" t="s">
        <v>175</v>
      </c>
      <c r="E4792" s="3">
        <f>HYPERLINK("https://sao.dolgi.msk.ru/account/1404253228/", 1404253228)</f>
        <v>1404253228</v>
      </c>
      <c r="F4792">
        <v>-1599.24</v>
      </c>
    </row>
    <row r="4793" spans="1:6" x14ac:dyDescent="0.25">
      <c r="A4793" t="s">
        <v>660</v>
      </c>
      <c r="B4793" t="s">
        <v>176</v>
      </c>
      <c r="C4793" s="5" t="str">
        <f t="shared" ref="C4793:C4794" si="233">" кв. "&amp;B4793</f>
        <v xml:space="preserve"> кв. 172</v>
      </c>
      <c r="D4793" s="5" t="str">
        <f>CONCATENATE(A4793,C4793)</f>
        <v>Валдайский пр., дом 12 кв. 172</v>
      </c>
      <c r="E4793" s="3">
        <f>HYPERLINK("https://sao.dolgi.msk.ru/account/1404253949/", 1404253949)</f>
        <v>1404253949</v>
      </c>
      <c r="F4793">
        <v>1107.05</v>
      </c>
    </row>
    <row r="4794" spans="1:6" x14ac:dyDescent="0.25">
      <c r="A4794" t="s">
        <v>660</v>
      </c>
      <c r="B4794" t="s">
        <v>177</v>
      </c>
      <c r="C4794" s="5" t="str">
        <f t="shared" si="233"/>
        <v xml:space="preserve"> кв. 173</v>
      </c>
      <c r="D4794" s="5" t="str">
        <f>CONCATENATE(A4794,C4794)</f>
        <v>Валдайский пр., дом 12 кв. 173</v>
      </c>
      <c r="E4794" s="3">
        <f>HYPERLINK("https://sao.dolgi.msk.ru/account/1404253957/", 1404253957)</f>
        <v>1404253957</v>
      </c>
      <c r="F4794">
        <v>1515.08</v>
      </c>
    </row>
    <row r="4795" spans="1:6" hidden="1" x14ac:dyDescent="0.25">
      <c r="A4795" t="s">
        <v>660</v>
      </c>
      <c r="B4795" t="s">
        <v>178</v>
      </c>
      <c r="E4795" s="3">
        <f>HYPERLINK("https://sao.dolgi.msk.ru/account/1404254298/", 1404254298)</f>
        <v>1404254298</v>
      </c>
      <c r="F4795">
        <v>0</v>
      </c>
    </row>
    <row r="4796" spans="1:6" hidden="1" x14ac:dyDescent="0.25">
      <c r="A4796" t="s">
        <v>660</v>
      </c>
      <c r="B4796" t="s">
        <v>179</v>
      </c>
      <c r="E4796" s="3">
        <f>HYPERLINK("https://sao.dolgi.msk.ru/account/1404252794/", 1404252794)</f>
        <v>1404252794</v>
      </c>
      <c r="F4796">
        <v>0</v>
      </c>
    </row>
    <row r="4797" spans="1:6" hidden="1" x14ac:dyDescent="0.25">
      <c r="A4797" t="s">
        <v>660</v>
      </c>
      <c r="B4797" t="s">
        <v>180</v>
      </c>
      <c r="E4797" s="3">
        <f>HYPERLINK("https://sao.dolgi.msk.ru/account/1404253236/", 1404253236)</f>
        <v>1404253236</v>
      </c>
      <c r="F4797">
        <v>-2218.6</v>
      </c>
    </row>
    <row r="4798" spans="1:6" hidden="1" x14ac:dyDescent="0.25">
      <c r="A4798" t="s">
        <v>660</v>
      </c>
      <c r="B4798" t="s">
        <v>181</v>
      </c>
      <c r="E4798" s="3">
        <f>HYPERLINK("https://sao.dolgi.msk.ru/account/1404253965/", 1404253965)</f>
        <v>1404253965</v>
      </c>
      <c r="F4798">
        <v>-852.18</v>
      </c>
    </row>
    <row r="4799" spans="1:6" hidden="1" x14ac:dyDescent="0.25">
      <c r="A4799" t="s">
        <v>660</v>
      </c>
      <c r="B4799" t="s">
        <v>182</v>
      </c>
      <c r="E4799" s="3">
        <f>HYPERLINK("https://sao.dolgi.msk.ru/account/1404252807/", 1404252807)</f>
        <v>1404252807</v>
      </c>
      <c r="F4799">
        <v>-827.35</v>
      </c>
    </row>
    <row r="4800" spans="1:6" hidden="1" x14ac:dyDescent="0.25">
      <c r="A4800" t="s">
        <v>660</v>
      </c>
      <c r="B4800" t="s">
        <v>183</v>
      </c>
      <c r="E4800" s="3">
        <f>HYPERLINK("https://sao.dolgi.msk.ru/account/1404253244/", 1404253244)</f>
        <v>1404253244</v>
      </c>
      <c r="F4800">
        <v>-1608.48</v>
      </c>
    </row>
    <row r="4801" spans="1:6" hidden="1" x14ac:dyDescent="0.25">
      <c r="A4801" t="s">
        <v>660</v>
      </c>
      <c r="B4801" t="s">
        <v>184</v>
      </c>
      <c r="E4801" s="3">
        <f>HYPERLINK("https://sao.dolgi.msk.ru/account/1404252137/", 1404252137)</f>
        <v>1404252137</v>
      </c>
      <c r="F4801">
        <v>-1594.62</v>
      </c>
    </row>
    <row r="4802" spans="1:6" hidden="1" x14ac:dyDescent="0.25">
      <c r="A4802" t="s">
        <v>660</v>
      </c>
      <c r="B4802" t="s">
        <v>185</v>
      </c>
      <c r="E4802" s="3">
        <f>HYPERLINK("https://sao.dolgi.msk.ru/account/1404253973/", 1404253973)</f>
        <v>1404253973</v>
      </c>
      <c r="F4802">
        <v>-1622.35</v>
      </c>
    </row>
    <row r="4803" spans="1:6" x14ac:dyDescent="0.25">
      <c r="A4803" t="s">
        <v>660</v>
      </c>
      <c r="B4803" t="s">
        <v>186</v>
      </c>
      <c r="C4803" s="5" t="str">
        <f t="shared" ref="C4803:C4804" si="234">" кв. "&amp;B4803</f>
        <v xml:space="preserve"> кв. 182</v>
      </c>
      <c r="D4803" s="5" t="str">
        <f>CONCATENATE(A4803,C4803)</f>
        <v>Валдайский пр., дом 12 кв. 182</v>
      </c>
      <c r="E4803" s="3">
        <f>HYPERLINK("https://sao.dolgi.msk.ru/account/1404253666/", 1404253666)</f>
        <v>1404253666</v>
      </c>
      <c r="F4803">
        <v>1518.24</v>
      </c>
    </row>
    <row r="4804" spans="1:6" x14ac:dyDescent="0.25">
      <c r="A4804" t="s">
        <v>660</v>
      </c>
      <c r="B4804" t="s">
        <v>187</v>
      </c>
      <c r="C4804" s="5" t="str">
        <f t="shared" si="234"/>
        <v xml:space="preserve"> кв. 183</v>
      </c>
      <c r="D4804" s="5" t="str">
        <f>CONCATENATE(A4804,C4804)</f>
        <v>Валдайский пр., дом 12 кв. 183</v>
      </c>
      <c r="E4804" s="3">
        <f>HYPERLINK("https://sao.dolgi.msk.ru/account/1404253375/", 1404253375)</f>
        <v>1404253375</v>
      </c>
      <c r="F4804">
        <v>1553.03</v>
      </c>
    </row>
    <row r="4805" spans="1:6" hidden="1" x14ac:dyDescent="0.25">
      <c r="A4805" t="s">
        <v>660</v>
      </c>
      <c r="B4805" t="s">
        <v>188</v>
      </c>
      <c r="E4805" s="3">
        <f>HYPERLINK("https://sao.dolgi.msk.ru/account/1404252313/", 1404252313)</f>
        <v>1404252313</v>
      </c>
      <c r="F4805">
        <v>0</v>
      </c>
    </row>
    <row r="4806" spans="1:6" hidden="1" x14ac:dyDescent="0.25">
      <c r="A4806" t="s">
        <v>660</v>
      </c>
      <c r="B4806" t="s">
        <v>189</v>
      </c>
      <c r="E4806" s="3">
        <f>HYPERLINK("https://sao.dolgi.msk.ru/account/1404252639/", 1404252639)</f>
        <v>1404252639</v>
      </c>
      <c r="F4806">
        <v>0</v>
      </c>
    </row>
    <row r="4807" spans="1:6" hidden="1" x14ac:dyDescent="0.25">
      <c r="A4807" t="s">
        <v>660</v>
      </c>
      <c r="B4807" t="s">
        <v>190</v>
      </c>
      <c r="E4807" s="3">
        <f>HYPERLINK("https://sao.dolgi.msk.ru/account/1404252647/", 1404252647)</f>
        <v>1404252647</v>
      </c>
      <c r="F4807">
        <v>-1622.35</v>
      </c>
    </row>
    <row r="4808" spans="1:6" x14ac:dyDescent="0.25">
      <c r="A4808" t="s">
        <v>660</v>
      </c>
      <c r="B4808" t="s">
        <v>191</v>
      </c>
      <c r="C4808" s="5" t="str">
        <f t="shared" ref="C4808:C4809" si="235">" кв. "&amp;B4808</f>
        <v xml:space="preserve"> кв. 187</v>
      </c>
      <c r="D4808" s="5" t="str">
        <f>CONCATENATE(A4808,C4808)</f>
        <v>Валдайский пр., дом 12 кв. 187</v>
      </c>
      <c r="E4808" s="3">
        <f>HYPERLINK("https://sao.dolgi.msk.ru/account/1404253113/", 1404253113)</f>
        <v>1404253113</v>
      </c>
      <c r="F4808">
        <v>1103.8900000000001</v>
      </c>
    </row>
    <row r="4809" spans="1:6" x14ac:dyDescent="0.25">
      <c r="A4809" t="s">
        <v>660</v>
      </c>
      <c r="B4809" t="s">
        <v>192</v>
      </c>
      <c r="C4809" s="5" t="str">
        <f t="shared" si="235"/>
        <v xml:space="preserve"> кв. 188</v>
      </c>
      <c r="D4809" s="5" t="str">
        <f>CONCATENATE(A4809,C4809)</f>
        <v>Валдайский пр., дом 12 кв. 188</v>
      </c>
      <c r="E4809" s="3">
        <f>HYPERLINK("https://sao.dolgi.msk.ru/account/1404252321/", 1404252321)</f>
        <v>1404252321</v>
      </c>
      <c r="F4809">
        <v>547.20000000000005</v>
      </c>
    </row>
    <row r="4810" spans="1:6" hidden="1" x14ac:dyDescent="0.25">
      <c r="A4810" t="s">
        <v>660</v>
      </c>
      <c r="B4810" t="s">
        <v>192</v>
      </c>
      <c r="E4810" s="3">
        <f>HYPERLINK("https://sao.dolgi.msk.ru/account/1404253885/", 1404253885)</f>
        <v>1404253885</v>
      </c>
      <c r="F4810">
        <v>-799.62</v>
      </c>
    </row>
    <row r="4811" spans="1:6" x14ac:dyDescent="0.25">
      <c r="A4811" t="s">
        <v>660</v>
      </c>
      <c r="B4811" t="s">
        <v>193</v>
      </c>
      <c r="C4811" s="5" t="str">
        <f>" кв. "&amp;B4811</f>
        <v xml:space="preserve"> кв. 189</v>
      </c>
      <c r="D4811" s="5" t="str">
        <f>CONCATENATE(A4811,C4811)</f>
        <v>Валдайский пр., дом 12 кв. 189</v>
      </c>
      <c r="E4811" s="3">
        <f>HYPERLINK("https://sao.dolgi.msk.ru/account/1404252655/", 1404252655)</f>
        <v>1404252655</v>
      </c>
      <c r="F4811">
        <v>1091.24</v>
      </c>
    </row>
    <row r="4812" spans="1:6" hidden="1" x14ac:dyDescent="0.25">
      <c r="A4812" t="s">
        <v>660</v>
      </c>
      <c r="B4812" t="s">
        <v>194</v>
      </c>
      <c r="E4812" s="3">
        <f>HYPERLINK("https://sao.dolgi.msk.ru/account/1404251783/", 1404251783)</f>
        <v>1404251783</v>
      </c>
      <c r="F4812">
        <v>0</v>
      </c>
    </row>
    <row r="4813" spans="1:6" x14ac:dyDescent="0.25">
      <c r="A4813" t="s">
        <v>660</v>
      </c>
      <c r="B4813" t="s">
        <v>195</v>
      </c>
      <c r="C4813" s="5" t="str">
        <f>" кв. "&amp;B4813</f>
        <v xml:space="preserve"> кв. 191</v>
      </c>
      <c r="D4813" s="5" t="str">
        <f>CONCATENATE(A4813,C4813)</f>
        <v>Валдайский пр., дом 12 кв. 191</v>
      </c>
      <c r="E4813" s="3">
        <f>HYPERLINK("https://sao.dolgi.msk.ru/account/1404252356/", 1404252356)</f>
        <v>1404252356</v>
      </c>
      <c r="F4813">
        <v>1518.24</v>
      </c>
    </row>
    <row r="4814" spans="1:6" hidden="1" x14ac:dyDescent="0.25">
      <c r="A4814" t="s">
        <v>660</v>
      </c>
      <c r="B4814" t="s">
        <v>196</v>
      </c>
      <c r="E4814" s="3">
        <f>HYPERLINK("https://sao.dolgi.msk.ru/account/1404254239/", 1404254239)</f>
        <v>1404254239</v>
      </c>
      <c r="F4814">
        <v>0</v>
      </c>
    </row>
    <row r="4815" spans="1:6" hidden="1" x14ac:dyDescent="0.25">
      <c r="A4815" t="s">
        <v>660</v>
      </c>
      <c r="B4815" t="s">
        <v>197</v>
      </c>
      <c r="E4815" s="3">
        <f>HYPERLINK("https://sao.dolgi.msk.ru/account/1404253025/", 1404253025)</f>
        <v>1404253025</v>
      </c>
      <c r="F4815">
        <v>0</v>
      </c>
    </row>
    <row r="4816" spans="1:6" x14ac:dyDescent="0.25">
      <c r="A4816" t="s">
        <v>660</v>
      </c>
      <c r="B4816" t="s">
        <v>197</v>
      </c>
      <c r="C4816" s="5" t="str">
        <f>" кв. "&amp;B4816</f>
        <v xml:space="preserve"> кв. 193</v>
      </c>
      <c r="D4816" s="5" t="str">
        <f>CONCATENATE(A4816,C4816)</f>
        <v>Валдайский пр., дом 12 кв. 193</v>
      </c>
      <c r="E4816" s="3">
        <f>HYPERLINK("https://sao.dolgi.msk.ru/account/1404253543/", 1404253543)</f>
        <v>1404253543</v>
      </c>
      <c r="F4816">
        <v>916.64</v>
      </c>
    </row>
    <row r="4817" spans="1:6" hidden="1" x14ac:dyDescent="0.25">
      <c r="A4817" t="s">
        <v>660</v>
      </c>
      <c r="B4817" t="s">
        <v>198</v>
      </c>
      <c r="E4817" s="3">
        <f>HYPERLINK("https://sao.dolgi.msk.ru/account/1404252057/", 1404252057)</f>
        <v>1404252057</v>
      </c>
      <c r="F4817">
        <v>-2250.94</v>
      </c>
    </row>
    <row r="4818" spans="1:6" hidden="1" x14ac:dyDescent="0.25">
      <c r="A4818" t="s">
        <v>660</v>
      </c>
      <c r="B4818" t="s">
        <v>199</v>
      </c>
      <c r="E4818" s="3">
        <f>HYPERLINK("https://sao.dolgi.msk.ru/account/1404252065/", 1404252065)</f>
        <v>1404252065</v>
      </c>
      <c r="F4818">
        <v>-1613.11</v>
      </c>
    </row>
    <row r="4819" spans="1:6" x14ac:dyDescent="0.25">
      <c r="A4819" t="s">
        <v>660</v>
      </c>
      <c r="B4819" t="s">
        <v>200</v>
      </c>
      <c r="C4819" s="5" t="str">
        <f>" кв. "&amp;B4819</f>
        <v xml:space="preserve"> кв. 196</v>
      </c>
      <c r="D4819" s="5" t="str">
        <f>CONCATENATE(A4819,C4819)</f>
        <v>Валдайский пр., дом 12 кв. 196</v>
      </c>
      <c r="E4819" s="3">
        <f>HYPERLINK("https://sao.dolgi.msk.ru/account/1404252663/", 1404252663)</f>
        <v>1404252663</v>
      </c>
      <c r="F4819">
        <v>1094.4000000000001</v>
      </c>
    </row>
    <row r="4820" spans="1:6" hidden="1" x14ac:dyDescent="0.25">
      <c r="A4820" t="s">
        <v>660</v>
      </c>
      <c r="B4820" t="s">
        <v>201</v>
      </c>
      <c r="E4820" s="3">
        <f>HYPERLINK("https://sao.dolgi.msk.ru/account/1404252671/", 1404252671)</f>
        <v>1404252671</v>
      </c>
      <c r="F4820">
        <v>0</v>
      </c>
    </row>
    <row r="4821" spans="1:6" hidden="1" x14ac:dyDescent="0.25">
      <c r="A4821" t="s">
        <v>660</v>
      </c>
      <c r="B4821" t="s">
        <v>202</v>
      </c>
      <c r="E4821" s="3">
        <f>HYPERLINK("https://sao.dolgi.msk.ru/account/1404252073/", 1404252073)</f>
        <v>1404252073</v>
      </c>
      <c r="F4821">
        <v>0</v>
      </c>
    </row>
    <row r="4822" spans="1:6" hidden="1" x14ac:dyDescent="0.25">
      <c r="A4822" t="s">
        <v>660</v>
      </c>
      <c r="B4822" t="s">
        <v>203</v>
      </c>
      <c r="E4822" s="3">
        <f>HYPERLINK("https://sao.dolgi.msk.ru/account/1404254247/", 1404254247)</f>
        <v>1404254247</v>
      </c>
      <c r="F4822">
        <v>0</v>
      </c>
    </row>
    <row r="4823" spans="1:6" hidden="1" x14ac:dyDescent="0.25">
      <c r="A4823" t="s">
        <v>660</v>
      </c>
      <c r="B4823" t="s">
        <v>204</v>
      </c>
      <c r="E4823" s="3">
        <f>HYPERLINK("https://sao.dolgi.msk.ru/account/1404252364/", 1404252364)</f>
        <v>1404252364</v>
      </c>
      <c r="F4823">
        <v>-1109.3</v>
      </c>
    </row>
    <row r="4824" spans="1:6" hidden="1" x14ac:dyDescent="0.25">
      <c r="A4824" t="s">
        <v>660</v>
      </c>
      <c r="B4824" t="s">
        <v>205</v>
      </c>
      <c r="E4824" s="3">
        <f>HYPERLINK("https://sao.dolgi.msk.ru/account/1404253578/", 1404253578)</f>
        <v>1404253578</v>
      </c>
      <c r="F4824">
        <v>-2278.6799999999998</v>
      </c>
    </row>
    <row r="4825" spans="1:6" hidden="1" x14ac:dyDescent="0.25">
      <c r="A4825" t="s">
        <v>660</v>
      </c>
      <c r="B4825" t="s">
        <v>206</v>
      </c>
      <c r="E4825" s="3">
        <f>HYPERLINK("https://sao.dolgi.msk.ru/account/1404253121/", 1404253121)</f>
        <v>1404253121</v>
      </c>
      <c r="F4825">
        <v>-2232.4499999999998</v>
      </c>
    </row>
    <row r="4826" spans="1:6" hidden="1" x14ac:dyDescent="0.25">
      <c r="A4826" t="s">
        <v>660</v>
      </c>
      <c r="B4826" t="s">
        <v>207</v>
      </c>
      <c r="E4826" s="3">
        <f>HYPERLINK("https://sao.dolgi.msk.ru/account/1404252698/", 1404252698)</f>
        <v>1404252698</v>
      </c>
      <c r="F4826">
        <v>-1359.84</v>
      </c>
    </row>
    <row r="4827" spans="1:6" hidden="1" x14ac:dyDescent="0.25">
      <c r="A4827" t="s">
        <v>660</v>
      </c>
      <c r="B4827" t="s">
        <v>208</v>
      </c>
      <c r="E4827" s="3">
        <f>HYPERLINK("https://sao.dolgi.msk.ru/account/1404252719/", 1404252719)</f>
        <v>1404252719</v>
      </c>
      <c r="F4827">
        <v>-855.09</v>
      </c>
    </row>
    <row r="4828" spans="1:6" hidden="1" x14ac:dyDescent="0.25">
      <c r="A4828" t="s">
        <v>660</v>
      </c>
      <c r="B4828" t="s">
        <v>209</v>
      </c>
      <c r="E4828" s="3">
        <f>HYPERLINK("https://sao.dolgi.msk.ru/account/1404252727/", 1404252727)</f>
        <v>1404252727</v>
      </c>
      <c r="F4828">
        <v>-1608.48</v>
      </c>
    </row>
    <row r="4829" spans="1:6" hidden="1" x14ac:dyDescent="0.25">
      <c r="A4829" t="s">
        <v>660</v>
      </c>
      <c r="B4829" t="s">
        <v>210</v>
      </c>
      <c r="E4829" s="3">
        <f>HYPERLINK("https://sao.dolgi.msk.ru/account/1404253586/", 1404253586)</f>
        <v>1404253586</v>
      </c>
      <c r="F4829">
        <v>-1613.11</v>
      </c>
    </row>
    <row r="4830" spans="1:6" hidden="1" x14ac:dyDescent="0.25">
      <c r="A4830" t="s">
        <v>660</v>
      </c>
      <c r="B4830" t="s">
        <v>211</v>
      </c>
      <c r="E4830" s="3">
        <f>HYPERLINK("https://sao.dolgi.msk.ru/account/1404253148/", 1404253148)</f>
        <v>1404253148</v>
      </c>
      <c r="F4830">
        <v>0</v>
      </c>
    </row>
    <row r="4831" spans="1:6" x14ac:dyDescent="0.25">
      <c r="A4831" t="s">
        <v>660</v>
      </c>
      <c r="B4831" t="s">
        <v>212</v>
      </c>
      <c r="C4831" s="5" t="str">
        <f>" кв. "&amp;B4831</f>
        <v xml:space="preserve"> кв. 208</v>
      </c>
      <c r="D4831" s="5" t="str">
        <f>CONCATENATE(A4831,C4831)</f>
        <v>Валдайский пр., дом 12 кв. 208</v>
      </c>
      <c r="E4831" s="3">
        <f>HYPERLINK("https://sao.dolgi.msk.ru/account/1404252612/", 1404252612)</f>
        <v>1404252612</v>
      </c>
      <c r="F4831">
        <v>1110.21</v>
      </c>
    </row>
    <row r="4832" spans="1:6" hidden="1" x14ac:dyDescent="0.25">
      <c r="A4832" t="s">
        <v>660</v>
      </c>
      <c r="B4832" t="s">
        <v>213</v>
      </c>
      <c r="E4832" s="3">
        <f>HYPERLINK("https://sao.dolgi.msk.ru/account/1404253092/", 1404253092)</f>
        <v>1404253092</v>
      </c>
      <c r="F4832">
        <v>0</v>
      </c>
    </row>
    <row r="4833" spans="1:6" hidden="1" x14ac:dyDescent="0.25">
      <c r="A4833" t="s">
        <v>660</v>
      </c>
      <c r="B4833" t="s">
        <v>214</v>
      </c>
      <c r="E4833" s="3">
        <f>HYPERLINK("https://sao.dolgi.msk.ru/account/1404253869/", 1404253869)</f>
        <v>1404253869</v>
      </c>
      <c r="F4833">
        <v>-2047.19</v>
      </c>
    </row>
    <row r="4834" spans="1:6" hidden="1" x14ac:dyDescent="0.25">
      <c r="A4834" t="s">
        <v>660</v>
      </c>
      <c r="B4834" t="s">
        <v>215</v>
      </c>
      <c r="E4834" s="3">
        <f>HYPERLINK("https://sao.dolgi.msk.ru/account/1404252022/", 1404252022)</f>
        <v>1404252022</v>
      </c>
      <c r="F4834">
        <v>-1887.88</v>
      </c>
    </row>
    <row r="4835" spans="1:6" hidden="1" x14ac:dyDescent="0.25">
      <c r="A4835" t="s">
        <v>660</v>
      </c>
      <c r="B4835" t="s">
        <v>216</v>
      </c>
      <c r="E4835" s="3">
        <f>HYPERLINK("https://sao.dolgi.msk.ru/account/1404253535/", 1404253535)</f>
        <v>1404253535</v>
      </c>
      <c r="F4835">
        <v>-1864.54</v>
      </c>
    </row>
    <row r="4836" spans="1:6" hidden="1" x14ac:dyDescent="0.25">
      <c r="A4836" t="s">
        <v>660</v>
      </c>
      <c r="B4836" t="s">
        <v>217</v>
      </c>
      <c r="E4836" s="3">
        <f>HYPERLINK("https://sao.dolgi.msk.ru/account/1404253877/", 1404253877)</f>
        <v>1404253877</v>
      </c>
      <c r="F4836">
        <v>0</v>
      </c>
    </row>
    <row r="4837" spans="1:6" hidden="1" x14ac:dyDescent="0.25">
      <c r="A4837" t="s">
        <v>660</v>
      </c>
      <c r="B4837" t="s">
        <v>218</v>
      </c>
      <c r="E4837" s="3">
        <f>HYPERLINK("https://sao.dolgi.msk.ru/account/1404252305/", 1404252305)</f>
        <v>1404252305</v>
      </c>
      <c r="F4837">
        <v>-4663.82</v>
      </c>
    </row>
    <row r="4838" spans="1:6" hidden="1" x14ac:dyDescent="0.25">
      <c r="A4838" t="s">
        <v>661</v>
      </c>
      <c r="B4838" t="s">
        <v>5</v>
      </c>
      <c r="E4838" s="3">
        <f>HYPERLINK("https://sao.dolgi.msk.ru/account/1404256381/", 1404256381)</f>
        <v>1404256381</v>
      </c>
      <c r="F4838">
        <v>0</v>
      </c>
    </row>
    <row r="4839" spans="1:6" hidden="1" x14ac:dyDescent="0.25">
      <c r="A4839" t="s">
        <v>661</v>
      </c>
      <c r="B4839" t="s">
        <v>6</v>
      </c>
      <c r="E4839" s="3">
        <f>HYPERLINK("https://sao.dolgi.msk.ru/account/1404255127/", 1404255127)</f>
        <v>1404255127</v>
      </c>
      <c r="F4839">
        <v>-1466.93</v>
      </c>
    </row>
    <row r="4840" spans="1:6" x14ac:dyDescent="0.25">
      <c r="A4840" t="s">
        <v>661</v>
      </c>
      <c r="B4840" t="s">
        <v>7</v>
      </c>
      <c r="C4840" s="5" t="str">
        <f>" кв. "&amp;B4840</f>
        <v xml:space="preserve"> кв. 3</v>
      </c>
      <c r="D4840" s="5" t="str">
        <f>CONCATENATE(A4840,C4840)</f>
        <v>Валдайский пр., дом 13А к.1 кв. 3</v>
      </c>
      <c r="E4840" s="3">
        <f>HYPERLINK("https://sao.dolgi.msk.ru/account/1404256293/", 1404256293)</f>
        <v>1404256293</v>
      </c>
      <c r="F4840">
        <v>948.7</v>
      </c>
    </row>
    <row r="4841" spans="1:6" hidden="1" x14ac:dyDescent="0.25">
      <c r="A4841" t="s">
        <v>661</v>
      </c>
      <c r="B4841" t="s">
        <v>8</v>
      </c>
      <c r="E4841" s="3">
        <f>HYPERLINK("https://sao.dolgi.msk.ru/account/1404255266/", 1404255266)</f>
        <v>1404255266</v>
      </c>
      <c r="F4841">
        <v>0</v>
      </c>
    </row>
    <row r="4842" spans="1:6" hidden="1" x14ac:dyDescent="0.25">
      <c r="A4842" t="s">
        <v>661</v>
      </c>
      <c r="B4842" t="s">
        <v>9</v>
      </c>
      <c r="E4842" s="3">
        <f>HYPERLINK("https://sao.dolgi.msk.ru/account/1404256891/", 1404256891)</f>
        <v>1404256891</v>
      </c>
      <c r="F4842">
        <v>-4201.47</v>
      </c>
    </row>
    <row r="4843" spans="1:6" hidden="1" x14ac:dyDescent="0.25">
      <c r="A4843" t="s">
        <v>661</v>
      </c>
      <c r="B4843" t="s">
        <v>10</v>
      </c>
      <c r="E4843" s="3">
        <f>HYPERLINK("https://sao.dolgi.msk.ru/account/1404255688/", 1404255688)</f>
        <v>1404255688</v>
      </c>
      <c r="F4843">
        <v>-1645.45</v>
      </c>
    </row>
    <row r="4844" spans="1:6" hidden="1" x14ac:dyDescent="0.25">
      <c r="A4844" t="s">
        <v>661</v>
      </c>
      <c r="B4844" t="s">
        <v>11</v>
      </c>
      <c r="E4844" s="3">
        <f>HYPERLINK("https://sao.dolgi.msk.ru/account/1404256189/", 1404256189)</f>
        <v>1404256189</v>
      </c>
      <c r="F4844">
        <v>-520.88</v>
      </c>
    </row>
    <row r="4845" spans="1:6" hidden="1" x14ac:dyDescent="0.25">
      <c r="A4845" t="s">
        <v>661</v>
      </c>
      <c r="B4845" t="s">
        <v>12</v>
      </c>
      <c r="E4845" s="3">
        <f>HYPERLINK("https://sao.dolgi.msk.ru/account/1404255733/", 1404255733)</f>
        <v>1404255733</v>
      </c>
      <c r="F4845">
        <v>-2955.84</v>
      </c>
    </row>
    <row r="4846" spans="1:6" hidden="1" x14ac:dyDescent="0.25">
      <c r="A4846" t="s">
        <v>661</v>
      </c>
      <c r="B4846" t="s">
        <v>13</v>
      </c>
      <c r="E4846" s="3">
        <f>HYPERLINK("https://sao.dolgi.msk.ru/account/1404256357/", 1404256357)</f>
        <v>1404256357</v>
      </c>
      <c r="F4846">
        <v>-3153.05</v>
      </c>
    </row>
    <row r="4847" spans="1:6" hidden="1" x14ac:dyDescent="0.25">
      <c r="A4847" t="s">
        <v>661</v>
      </c>
      <c r="B4847" t="s">
        <v>14</v>
      </c>
      <c r="E4847" s="3">
        <f>HYPERLINK("https://sao.dolgi.msk.ru/account/1404254781/", 1404254781)</f>
        <v>1404254781</v>
      </c>
      <c r="F4847">
        <v>-1177.82</v>
      </c>
    </row>
    <row r="4848" spans="1:6" hidden="1" x14ac:dyDescent="0.25">
      <c r="A4848" t="s">
        <v>661</v>
      </c>
      <c r="B4848" t="s">
        <v>15</v>
      </c>
      <c r="E4848" s="3">
        <f>HYPERLINK("https://sao.dolgi.msk.ru/account/1404256269/", 1404256269)</f>
        <v>1404256269</v>
      </c>
      <c r="F4848">
        <v>-1389.63</v>
      </c>
    </row>
    <row r="4849" spans="1:6" hidden="1" x14ac:dyDescent="0.25">
      <c r="A4849" t="s">
        <v>661</v>
      </c>
      <c r="B4849" t="s">
        <v>16</v>
      </c>
      <c r="E4849" s="3">
        <f>HYPERLINK("https://sao.dolgi.msk.ru/account/1404256656/", 1404256656)</f>
        <v>1404256656</v>
      </c>
      <c r="F4849">
        <v>-4293.91</v>
      </c>
    </row>
    <row r="4850" spans="1:6" hidden="1" x14ac:dyDescent="0.25">
      <c r="A4850" t="s">
        <v>661</v>
      </c>
      <c r="B4850" t="s">
        <v>17</v>
      </c>
      <c r="E4850" s="3">
        <f>HYPERLINK("https://sao.dolgi.msk.ru/account/1404254386/", 1404254386)</f>
        <v>1404254386</v>
      </c>
      <c r="F4850">
        <v>-3534.42</v>
      </c>
    </row>
    <row r="4851" spans="1:6" hidden="1" x14ac:dyDescent="0.25">
      <c r="A4851" t="s">
        <v>661</v>
      </c>
      <c r="B4851" t="s">
        <v>18</v>
      </c>
      <c r="E4851" s="3">
        <f>HYPERLINK("https://sao.dolgi.msk.ru/account/1404255346/", 1404255346)</f>
        <v>1404255346</v>
      </c>
      <c r="F4851">
        <v>-1640.83</v>
      </c>
    </row>
    <row r="4852" spans="1:6" hidden="1" x14ac:dyDescent="0.25">
      <c r="A4852" t="s">
        <v>661</v>
      </c>
      <c r="B4852" t="s">
        <v>19</v>
      </c>
      <c r="E4852" s="3">
        <f>HYPERLINK("https://sao.dolgi.msk.ru/account/1404256488/", 1404256488)</f>
        <v>1404256488</v>
      </c>
      <c r="F4852">
        <v>-1650.07</v>
      </c>
    </row>
    <row r="4853" spans="1:6" hidden="1" x14ac:dyDescent="0.25">
      <c r="A4853" t="s">
        <v>661</v>
      </c>
      <c r="B4853" t="s">
        <v>20</v>
      </c>
      <c r="E4853" s="3">
        <f>HYPERLINK("https://sao.dolgi.msk.ru/account/1404255856/", 1404255856)</f>
        <v>1404255856</v>
      </c>
      <c r="F4853">
        <v>-3604.5</v>
      </c>
    </row>
    <row r="4854" spans="1:6" hidden="1" x14ac:dyDescent="0.25">
      <c r="A4854" t="s">
        <v>661</v>
      </c>
      <c r="B4854" t="s">
        <v>21</v>
      </c>
      <c r="E4854" s="3">
        <f>HYPERLINK("https://sao.dolgi.msk.ru/account/1404254757/", 1404254757)</f>
        <v>1404254757</v>
      </c>
      <c r="F4854">
        <v>-4201.47</v>
      </c>
    </row>
    <row r="4855" spans="1:6" hidden="1" x14ac:dyDescent="0.25">
      <c r="A4855" t="s">
        <v>661</v>
      </c>
      <c r="B4855" t="s">
        <v>22</v>
      </c>
      <c r="E4855" s="3">
        <f>HYPERLINK("https://sao.dolgi.msk.ru/account/1404255012/", 1404255012)</f>
        <v>1404255012</v>
      </c>
      <c r="F4855">
        <v>-882.81</v>
      </c>
    </row>
    <row r="4856" spans="1:6" hidden="1" x14ac:dyDescent="0.25">
      <c r="A4856" t="s">
        <v>661</v>
      </c>
      <c r="B4856" t="s">
        <v>23</v>
      </c>
      <c r="E4856" s="3">
        <f>HYPERLINK("https://sao.dolgi.msk.ru/account/1404255776/", 1404255776)</f>
        <v>1404255776</v>
      </c>
      <c r="F4856">
        <v>-1645.45</v>
      </c>
    </row>
    <row r="4857" spans="1:6" x14ac:dyDescent="0.25">
      <c r="A4857" t="s">
        <v>661</v>
      </c>
      <c r="B4857" t="s">
        <v>24</v>
      </c>
      <c r="C4857" s="5" t="str">
        <f>" кв. "&amp;B4857</f>
        <v xml:space="preserve"> кв. 20</v>
      </c>
      <c r="D4857" s="5" t="str">
        <f>CONCATENATE(A4857,C4857)</f>
        <v>Валдайский пр., дом 13А к.1 кв. 20</v>
      </c>
      <c r="E4857" s="3">
        <f>HYPERLINK("https://sao.dolgi.msk.ru/account/1404256808/", 1404256808)</f>
        <v>1404256808</v>
      </c>
      <c r="F4857">
        <v>2932.1</v>
      </c>
    </row>
    <row r="4858" spans="1:6" hidden="1" x14ac:dyDescent="0.25">
      <c r="A4858" t="s">
        <v>661</v>
      </c>
      <c r="B4858" t="s">
        <v>25</v>
      </c>
      <c r="E4858" s="3">
        <f>HYPERLINK("https://sao.dolgi.msk.ru/account/1404255506/", 1404255506)</f>
        <v>1404255506</v>
      </c>
      <c r="F4858">
        <v>-1724.02</v>
      </c>
    </row>
    <row r="4859" spans="1:6" hidden="1" x14ac:dyDescent="0.25">
      <c r="A4859" t="s">
        <v>661</v>
      </c>
      <c r="B4859" t="s">
        <v>26</v>
      </c>
      <c r="E4859" s="3">
        <f>HYPERLINK("https://sao.dolgi.msk.ru/account/1404255813/", 1404255813)</f>
        <v>1404255813</v>
      </c>
      <c r="F4859">
        <v>0</v>
      </c>
    </row>
    <row r="4860" spans="1:6" x14ac:dyDescent="0.25">
      <c r="A4860" t="s">
        <v>661</v>
      </c>
      <c r="B4860" t="s">
        <v>27</v>
      </c>
      <c r="C4860" s="5" t="str">
        <f>" кв. "&amp;B4860</f>
        <v xml:space="preserve"> кв. 23</v>
      </c>
      <c r="D4860" s="5" t="str">
        <f>CONCATENATE(A4860,C4860)</f>
        <v>Валдайский пр., дом 13А к.1 кв. 23</v>
      </c>
      <c r="E4860" s="3">
        <f>HYPERLINK("https://sao.dolgi.msk.ru/account/1404256824/", 1404256824)</f>
        <v>1404256824</v>
      </c>
      <c r="F4860">
        <v>1695.37</v>
      </c>
    </row>
    <row r="4861" spans="1:6" hidden="1" x14ac:dyDescent="0.25">
      <c r="A4861" t="s">
        <v>661</v>
      </c>
      <c r="B4861" t="s">
        <v>28</v>
      </c>
      <c r="E4861" s="3">
        <f>HYPERLINK("https://sao.dolgi.msk.ru/account/1404255143/", 1404255143)</f>
        <v>1404255143</v>
      </c>
      <c r="F4861">
        <v>-3540.5</v>
      </c>
    </row>
    <row r="4862" spans="1:6" hidden="1" x14ac:dyDescent="0.25">
      <c r="A4862" t="s">
        <v>661</v>
      </c>
      <c r="B4862" t="s">
        <v>29</v>
      </c>
      <c r="E4862" s="3">
        <f>HYPERLINK("https://sao.dolgi.msk.ru/account/1404254546/", 1404254546)</f>
        <v>1404254546</v>
      </c>
      <c r="F4862">
        <v>0</v>
      </c>
    </row>
    <row r="4863" spans="1:6" hidden="1" x14ac:dyDescent="0.25">
      <c r="A4863" t="s">
        <v>661</v>
      </c>
      <c r="B4863" t="s">
        <v>30</v>
      </c>
      <c r="E4863" s="3">
        <f>HYPERLINK("https://sao.dolgi.msk.ru/account/1404256437/", 1404256437)</f>
        <v>1404256437</v>
      </c>
      <c r="F4863">
        <v>0</v>
      </c>
    </row>
    <row r="4864" spans="1:6" hidden="1" x14ac:dyDescent="0.25">
      <c r="A4864" t="s">
        <v>661</v>
      </c>
      <c r="B4864" t="s">
        <v>31</v>
      </c>
      <c r="E4864" s="3">
        <f>HYPERLINK("https://sao.dolgi.msk.ru/account/1404254554/", 1404254554)</f>
        <v>1404254554</v>
      </c>
      <c r="F4864">
        <v>-2477.4299999999998</v>
      </c>
    </row>
    <row r="4865" spans="1:6" hidden="1" x14ac:dyDescent="0.25">
      <c r="A4865" t="s">
        <v>661</v>
      </c>
      <c r="B4865" t="s">
        <v>32</v>
      </c>
      <c r="E4865" s="3">
        <f>HYPERLINK("https://sao.dolgi.msk.ru/account/1404254503/", 1404254503)</f>
        <v>1404254503</v>
      </c>
      <c r="F4865">
        <v>-2981.68</v>
      </c>
    </row>
    <row r="4866" spans="1:6" hidden="1" x14ac:dyDescent="0.25">
      <c r="A4866" t="s">
        <v>661</v>
      </c>
      <c r="B4866" t="s">
        <v>33</v>
      </c>
      <c r="E4866" s="3">
        <f>HYPERLINK("https://sao.dolgi.msk.ru/account/1404256285/", 1404256285)</f>
        <v>1404256285</v>
      </c>
      <c r="F4866">
        <v>-3188.71</v>
      </c>
    </row>
    <row r="4867" spans="1:6" hidden="1" x14ac:dyDescent="0.25">
      <c r="A4867" t="s">
        <v>661</v>
      </c>
      <c r="B4867" t="s">
        <v>34</v>
      </c>
      <c r="E4867" s="3">
        <f>HYPERLINK("https://sao.dolgi.msk.ru/account/1404254431/", 1404254431)</f>
        <v>1404254431</v>
      </c>
      <c r="F4867">
        <v>0</v>
      </c>
    </row>
    <row r="4868" spans="1:6" x14ac:dyDescent="0.25">
      <c r="A4868" t="s">
        <v>661</v>
      </c>
      <c r="B4868" t="s">
        <v>35</v>
      </c>
      <c r="C4868" s="5" t="str">
        <f>" кв. "&amp;B4868</f>
        <v xml:space="preserve"> кв. 31</v>
      </c>
      <c r="D4868" s="5" t="str">
        <f>CONCATENATE(A4868,C4868)</f>
        <v>Валдайский пр., дом 13А к.1 кв. 31</v>
      </c>
      <c r="E4868" s="3">
        <f>HYPERLINK("https://sao.dolgi.msk.ru/account/1404256306/", 1404256306)</f>
        <v>1404256306</v>
      </c>
      <c r="F4868">
        <v>1692.21</v>
      </c>
    </row>
    <row r="4869" spans="1:6" hidden="1" x14ac:dyDescent="0.25">
      <c r="A4869" t="s">
        <v>661</v>
      </c>
      <c r="B4869" t="s">
        <v>36</v>
      </c>
      <c r="E4869" s="3">
        <f>HYPERLINK("https://sao.dolgi.msk.ru/account/1404254749/", 1404254749)</f>
        <v>1404254749</v>
      </c>
      <c r="F4869">
        <v>-3535.88</v>
      </c>
    </row>
    <row r="4870" spans="1:6" hidden="1" x14ac:dyDescent="0.25">
      <c r="A4870" t="s">
        <v>661</v>
      </c>
      <c r="B4870" t="s">
        <v>37</v>
      </c>
      <c r="E4870" s="3">
        <f>HYPERLINK("https://sao.dolgi.msk.ru/account/1404256736/", 1404256736)</f>
        <v>1404256736</v>
      </c>
      <c r="F4870">
        <v>-3461.93</v>
      </c>
    </row>
    <row r="4871" spans="1:6" hidden="1" x14ac:dyDescent="0.25">
      <c r="A4871" t="s">
        <v>661</v>
      </c>
      <c r="B4871" t="s">
        <v>38</v>
      </c>
      <c r="E4871" s="3">
        <f>HYPERLINK("https://sao.dolgi.msk.ru/account/1404256699/", 1404256699)</f>
        <v>1404256699</v>
      </c>
      <c r="F4871">
        <v>-2472.81</v>
      </c>
    </row>
    <row r="4872" spans="1:6" x14ac:dyDescent="0.25">
      <c r="A4872" t="s">
        <v>661</v>
      </c>
      <c r="B4872" t="s">
        <v>39</v>
      </c>
      <c r="C4872" s="5" t="str">
        <f>" кв. "&amp;B4872</f>
        <v xml:space="preserve"> кв. 35</v>
      </c>
      <c r="D4872" s="5" t="str">
        <f>CONCATENATE(A4872,C4872)</f>
        <v>Валдайский пр., дом 13А к.1 кв. 35</v>
      </c>
      <c r="E4872" s="3">
        <f>HYPERLINK("https://sao.dolgi.msk.ru/account/1404256314/", 1404256314)</f>
        <v>1404256314</v>
      </c>
      <c r="F4872">
        <v>1692.21</v>
      </c>
    </row>
    <row r="4873" spans="1:6" hidden="1" x14ac:dyDescent="0.25">
      <c r="A4873" t="s">
        <v>661</v>
      </c>
      <c r="B4873" t="s">
        <v>40</v>
      </c>
      <c r="E4873" s="3">
        <f>HYPERLINK("https://sao.dolgi.msk.ru/account/1404255397/", 1404255397)</f>
        <v>1404255397</v>
      </c>
      <c r="F4873">
        <v>-1117.6400000000001</v>
      </c>
    </row>
    <row r="4874" spans="1:6" x14ac:dyDescent="0.25">
      <c r="A4874" t="s">
        <v>661</v>
      </c>
      <c r="B4874" t="s">
        <v>41</v>
      </c>
      <c r="C4874" s="5" t="str">
        <f>" кв. "&amp;B4874</f>
        <v xml:space="preserve"> кв. 37</v>
      </c>
      <c r="D4874" s="5" t="str">
        <f>CONCATENATE(A4874,C4874)</f>
        <v>Валдайский пр., дом 13А к.1 кв. 37</v>
      </c>
      <c r="E4874" s="3">
        <f>HYPERLINK("https://sao.dolgi.msk.ru/account/1404255004/", 1404255004)</f>
        <v>1404255004</v>
      </c>
      <c r="F4874">
        <v>1837.7</v>
      </c>
    </row>
    <row r="4875" spans="1:6" hidden="1" x14ac:dyDescent="0.25">
      <c r="A4875" t="s">
        <v>661</v>
      </c>
      <c r="B4875" t="s">
        <v>42</v>
      </c>
      <c r="E4875" s="3">
        <f>HYPERLINK("https://sao.dolgi.msk.ru/account/1404255696/", 1404255696)</f>
        <v>1404255696</v>
      </c>
      <c r="F4875">
        <v>-2472.81</v>
      </c>
    </row>
    <row r="4876" spans="1:6" x14ac:dyDescent="0.25">
      <c r="A4876" t="s">
        <v>661</v>
      </c>
      <c r="B4876" t="s">
        <v>43</v>
      </c>
      <c r="C4876" s="5" t="str">
        <f t="shared" ref="C4876:C4877" si="236">" кв. "&amp;B4876</f>
        <v xml:space="preserve"> кв. 39</v>
      </c>
      <c r="D4876" s="5" t="str">
        <f>CONCATENATE(A4876,C4876)</f>
        <v>Валдайский пр., дом 13А к.1 кв. 39</v>
      </c>
      <c r="E4876" s="3">
        <f>HYPERLINK("https://sao.dolgi.msk.ru/account/1404254909/", 1404254909)</f>
        <v>1404254909</v>
      </c>
      <c r="F4876">
        <v>566.17999999999995</v>
      </c>
    </row>
    <row r="4877" spans="1:6" x14ac:dyDescent="0.25">
      <c r="A4877" t="s">
        <v>661</v>
      </c>
      <c r="B4877" t="s">
        <v>43</v>
      </c>
      <c r="C4877" s="5" t="str">
        <f t="shared" si="236"/>
        <v xml:space="preserve"> кв. 39</v>
      </c>
      <c r="D4877" s="5" t="str">
        <f>CONCATENATE(A4877,C4877)</f>
        <v>Валдайский пр., дом 13А к.1 кв. 39</v>
      </c>
      <c r="E4877" s="3">
        <f>HYPERLINK("https://sao.dolgi.msk.ru/account/1404255987/", 1404255987)</f>
        <v>1404255987</v>
      </c>
      <c r="F4877">
        <v>1132.3499999999999</v>
      </c>
    </row>
    <row r="4878" spans="1:6" hidden="1" x14ac:dyDescent="0.25">
      <c r="A4878" t="s">
        <v>661</v>
      </c>
      <c r="B4878" t="s">
        <v>44</v>
      </c>
      <c r="E4878" s="3">
        <f>HYPERLINK("https://sao.dolgi.msk.ru/account/1404254562/", 1404254562)</f>
        <v>1404254562</v>
      </c>
      <c r="F4878">
        <v>-1120.56</v>
      </c>
    </row>
    <row r="4879" spans="1:6" hidden="1" x14ac:dyDescent="0.25">
      <c r="A4879" t="s">
        <v>661</v>
      </c>
      <c r="B4879" t="s">
        <v>45</v>
      </c>
      <c r="E4879" s="3">
        <f>HYPERLINK("https://sao.dolgi.msk.ru/account/1404255514/", 1404255514)</f>
        <v>1404255514</v>
      </c>
      <c r="F4879">
        <v>-2247.37</v>
      </c>
    </row>
    <row r="4880" spans="1:6" hidden="1" x14ac:dyDescent="0.25">
      <c r="A4880" t="s">
        <v>661</v>
      </c>
      <c r="B4880" t="s">
        <v>46</v>
      </c>
      <c r="E4880" s="3">
        <f>HYPERLINK("https://sao.dolgi.msk.ru/account/1404254837/", 1404254837)</f>
        <v>1404254837</v>
      </c>
      <c r="F4880">
        <v>-1560.61</v>
      </c>
    </row>
    <row r="4881" spans="1:6" hidden="1" x14ac:dyDescent="0.25">
      <c r="A4881" t="s">
        <v>661</v>
      </c>
      <c r="B4881" t="s">
        <v>47</v>
      </c>
      <c r="E4881" s="3">
        <f>HYPERLINK("https://sao.dolgi.msk.ru/account/1404254589/", 1404254589)</f>
        <v>1404254589</v>
      </c>
      <c r="F4881">
        <v>-1236.4100000000001</v>
      </c>
    </row>
    <row r="4882" spans="1:6" hidden="1" x14ac:dyDescent="0.25">
      <c r="A4882" t="s">
        <v>661</v>
      </c>
      <c r="B4882" t="s">
        <v>48</v>
      </c>
      <c r="E4882" s="3">
        <f>HYPERLINK("https://sao.dolgi.msk.ru/account/1404255709/", 1404255709)</f>
        <v>1404255709</v>
      </c>
      <c r="F4882">
        <v>-3540.5</v>
      </c>
    </row>
    <row r="4883" spans="1:6" hidden="1" x14ac:dyDescent="0.25">
      <c r="A4883" t="s">
        <v>661</v>
      </c>
      <c r="B4883" t="s">
        <v>49</v>
      </c>
      <c r="E4883" s="3">
        <f>HYPERLINK("https://sao.dolgi.msk.ru/account/1404255522/", 1404255522)</f>
        <v>1404255522</v>
      </c>
      <c r="F4883">
        <v>-3471.17</v>
      </c>
    </row>
    <row r="4884" spans="1:6" hidden="1" x14ac:dyDescent="0.25">
      <c r="A4884" t="s">
        <v>661</v>
      </c>
      <c r="B4884" t="s">
        <v>50</v>
      </c>
      <c r="E4884" s="3">
        <f>HYPERLINK("https://sao.dolgi.msk.ru/account/1404255151/", 1404255151)</f>
        <v>1404255151</v>
      </c>
      <c r="F4884">
        <v>-1710.17</v>
      </c>
    </row>
    <row r="4885" spans="1:6" hidden="1" x14ac:dyDescent="0.25">
      <c r="A4885" t="s">
        <v>661</v>
      </c>
      <c r="B4885" t="s">
        <v>51</v>
      </c>
      <c r="E4885" s="3">
        <f>HYPERLINK("https://sao.dolgi.msk.ru/account/1404254597/", 1404254597)</f>
        <v>1404254597</v>
      </c>
      <c r="F4885">
        <v>-2482.0500000000002</v>
      </c>
    </row>
    <row r="4886" spans="1:6" hidden="1" x14ac:dyDescent="0.25">
      <c r="A4886" t="s">
        <v>661</v>
      </c>
      <c r="B4886" t="s">
        <v>52</v>
      </c>
      <c r="E4886" s="3">
        <f>HYPERLINK("https://sao.dolgi.msk.ru/account/1404254618/", 1404254618)</f>
        <v>1404254618</v>
      </c>
      <c r="F4886">
        <v>-2777.86</v>
      </c>
    </row>
    <row r="4887" spans="1:6" hidden="1" x14ac:dyDescent="0.25">
      <c r="A4887" t="s">
        <v>661</v>
      </c>
      <c r="B4887" t="s">
        <v>53</v>
      </c>
      <c r="E4887" s="3">
        <f>HYPERLINK("https://sao.dolgi.msk.ru/account/1404254626/", 1404254626)</f>
        <v>1404254626</v>
      </c>
      <c r="F4887">
        <v>-3457.3</v>
      </c>
    </row>
    <row r="4888" spans="1:6" hidden="1" x14ac:dyDescent="0.25">
      <c r="A4888" t="s">
        <v>661</v>
      </c>
      <c r="B4888" t="s">
        <v>54</v>
      </c>
      <c r="E4888" s="3">
        <f>HYPERLINK("https://sao.dolgi.msk.ru/account/1404256445/", 1404256445)</f>
        <v>1404256445</v>
      </c>
      <c r="F4888">
        <v>-2477.4299999999998</v>
      </c>
    </row>
    <row r="4889" spans="1:6" hidden="1" x14ac:dyDescent="0.25">
      <c r="A4889" t="s">
        <v>661</v>
      </c>
      <c r="B4889" t="s">
        <v>55</v>
      </c>
      <c r="E4889" s="3">
        <f>HYPERLINK("https://sao.dolgi.msk.ru/account/1404255549/", 1404255549)</f>
        <v>1404255549</v>
      </c>
      <c r="F4889">
        <v>-1705.54</v>
      </c>
    </row>
    <row r="4890" spans="1:6" hidden="1" x14ac:dyDescent="0.25">
      <c r="A4890" t="s">
        <v>661</v>
      </c>
      <c r="B4890" t="s">
        <v>56</v>
      </c>
      <c r="E4890" s="3">
        <f>HYPERLINK("https://sao.dolgi.msk.ru/account/1404255178/", 1404255178)</f>
        <v>1404255178</v>
      </c>
      <c r="F4890">
        <v>0</v>
      </c>
    </row>
    <row r="4891" spans="1:6" hidden="1" x14ac:dyDescent="0.25">
      <c r="A4891" t="s">
        <v>661</v>
      </c>
      <c r="B4891" t="s">
        <v>57</v>
      </c>
      <c r="E4891" s="3">
        <f>HYPERLINK("https://sao.dolgi.msk.ru/account/1404254845/", 1404254845)</f>
        <v>1404254845</v>
      </c>
      <c r="F4891">
        <v>0</v>
      </c>
    </row>
    <row r="4892" spans="1:6" hidden="1" x14ac:dyDescent="0.25">
      <c r="A4892" t="s">
        <v>661</v>
      </c>
      <c r="B4892" t="s">
        <v>58</v>
      </c>
      <c r="E4892" s="3">
        <f>HYPERLINK("https://sao.dolgi.msk.ru/account/1404256111/", 1404256111)</f>
        <v>1404256111</v>
      </c>
      <c r="F4892">
        <v>-1236.4000000000001</v>
      </c>
    </row>
    <row r="4893" spans="1:6" hidden="1" x14ac:dyDescent="0.25">
      <c r="A4893" t="s">
        <v>661</v>
      </c>
      <c r="B4893" t="s">
        <v>58</v>
      </c>
      <c r="E4893" s="3">
        <f>HYPERLINK("https://sao.dolgi.msk.ru/account/1404256859/", 1404256859)</f>
        <v>1404256859</v>
      </c>
      <c r="F4893">
        <v>-618.19000000000005</v>
      </c>
    </row>
    <row r="4894" spans="1:6" hidden="1" x14ac:dyDescent="0.25">
      <c r="A4894" t="s">
        <v>661</v>
      </c>
      <c r="B4894" t="s">
        <v>59</v>
      </c>
      <c r="E4894" s="3">
        <f>HYPERLINK("https://sao.dolgi.msk.ru/account/1404254853/", 1404254853)</f>
        <v>1404254853</v>
      </c>
      <c r="F4894">
        <v>-2468.1799999999998</v>
      </c>
    </row>
    <row r="4895" spans="1:6" hidden="1" x14ac:dyDescent="0.25">
      <c r="A4895" t="s">
        <v>661</v>
      </c>
      <c r="B4895" t="s">
        <v>60</v>
      </c>
      <c r="E4895" s="3">
        <f>HYPERLINK("https://sao.dolgi.msk.ru/account/1404256162/", 1404256162)</f>
        <v>1404256162</v>
      </c>
      <c r="F4895">
        <v>-4401.8999999999996</v>
      </c>
    </row>
    <row r="4896" spans="1:6" hidden="1" x14ac:dyDescent="0.25">
      <c r="A4896" t="s">
        <v>661</v>
      </c>
      <c r="B4896" t="s">
        <v>61</v>
      </c>
      <c r="E4896" s="3">
        <f>HYPERLINK("https://sao.dolgi.msk.ru/account/1404256867/", 1404256867)</f>
        <v>1404256867</v>
      </c>
      <c r="F4896">
        <v>-913.74</v>
      </c>
    </row>
    <row r="4897" spans="1:6" hidden="1" x14ac:dyDescent="0.25">
      <c r="A4897" t="s">
        <v>661</v>
      </c>
      <c r="B4897" t="s">
        <v>62</v>
      </c>
      <c r="E4897" s="3">
        <f>HYPERLINK("https://sao.dolgi.msk.ru/account/1404256453/", 1404256453)</f>
        <v>1404256453</v>
      </c>
      <c r="F4897">
        <v>-779.14</v>
      </c>
    </row>
    <row r="4898" spans="1:6" hidden="1" x14ac:dyDescent="0.25">
      <c r="A4898" t="s">
        <v>661</v>
      </c>
      <c r="B4898" t="s">
        <v>63</v>
      </c>
      <c r="E4898" s="3">
        <f>HYPERLINK("https://sao.dolgi.msk.ru/account/1404254706/", 1404254706)</f>
        <v>1404254706</v>
      </c>
      <c r="F4898">
        <v>-1858.07</v>
      </c>
    </row>
    <row r="4899" spans="1:6" x14ac:dyDescent="0.25">
      <c r="A4899" t="s">
        <v>661</v>
      </c>
      <c r="B4899" t="s">
        <v>63</v>
      </c>
      <c r="C4899" s="5" t="str">
        <f>" кв. "&amp;B4899</f>
        <v xml:space="preserve"> кв. 59</v>
      </c>
      <c r="D4899" s="5" t="str">
        <f>CONCATENATE(A4899,C4899)</f>
        <v>Валдайский пр., дом 13А к.1 кв. 59</v>
      </c>
      <c r="E4899" s="3">
        <f>HYPERLINK("https://sao.dolgi.msk.ru/account/1404255186/", 1404255186)</f>
        <v>1404255186</v>
      </c>
      <c r="F4899">
        <v>423.84</v>
      </c>
    </row>
    <row r="4900" spans="1:6" hidden="1" x14ac:dyDescent="0.25">
      <c r="A4900" t="s">
        <v>661</v>
      </c>
      <c r="B4900" t="s">
        <v>64</v>
      </c>
      <c r="E4900" s="3">
        <f>HYPERLINK("https://sao.dolgi.msk.ru/account/1404256664/", 1404256664)</f>
        <v>1404256664</v>
      </c>
      <c r="F4900">
        <v>-1116.18</v>
      </c>
    </row>
    <row r="4901" spans="1:6" x14ac:dyDescent="0.25">
      <c r="A4901" t="s">
        <v>661</v>
      </c>
      <c r="B4901" t="s">
        <v>65</v>
      </c>
      <c r="C4901" s="5" t="str">
        <f>" кв. "&amp;B4901</f>
        <v xml:space="preserve"> кв. 61</v>
      </c>
      <c r="D4901" s="5" t="str">
        <f>CONCATENATE(A4901,C4901)</f>
        <v>Валдайский пр., дом 13А к.1 кв. 61</v>
      </c>
      <c r="E4901" s="3">
        <f>HYPERLINK("https://sao.dolgi.msk.ru/account/1404255944/", 1404255944)</f>
        <v>1404255944</v>
      </c>
      <c r="F4901">
        <v>1701.69</v>
      </c>
    </row>
    <row r="4902" spans="1:6" hidden="1" x14ac:dyDescent="0.25">
      <c r="A4902" t="s">
        <v>661</v>
      </c>
      <c r="B4902" t="s">
        <v>66</v>
      </c>
      <c r="E4902" s="3">
        <f>HYPERLINK("https://sao.dolgi.msk.ru/account/1404256277/", 1404256277)</f>
        <v>1404256277</v>
      </c>
      <c r="F4902">
        <v>-2477.4299999999998</v>
      </c>
    </row>
    <row r="4903" spans="1:6" hidden="1" x14ac:dyDescent="0.25">
      <c r="A4903" t="s">
        <v>661</v>
      </c>
      <c r="B4903" t="s">
        <v>67</v>
      </c>
      <c r="E4903" s="3">
        <f>HYPERLINK("https://sao.dolgi.msk.ru/account/1404256672/", 1404256672)</f>
        <v>1404256672</v>
      </c>
      <c r="F4903">
        <v>-2472.81</v>
      </c>
    </row>
    <row r="4904" spans="1:6" x14ac:dyDescent="0.25">
      <c r="A4904" t="s">
        <v>661</v>
      </c>
      <c r="B4904" t="s">
        <v>68</v>
      </c>
      <c r="C4904" s="5" t="str">
        <f>" кв. "&amp;B4904</f>
        <v xml:space="preserve"> кв. 64</v>
      </c>
      <c r="D4904" s="5" t="str">
        <f>CONCATENATE(A4904,C4904)</f>
        <v>Валдайский пр., дом 13А к.1 кв. 64</v>
      </c>
      <c r="E4904" s="3">
        <f>HYPERLINK("https://sao.dolgi.msk.ru/account/1404254714/", 1404254714)</f>
        <v>1404254714</v>
      </c>
      <c r="F4904">
        <v>2419.6999999999998</v>
      </c>
    </row>
    <row r="4905" spans="1:6" hidden="1" x14ac:dyDescent="0.25">
      <c r="A4905" t="s">
        <v>661</v>
      </c>
      <c r="B4905" t="s">
        <v>69</v>
      </c>
      <c r="E4905" s="3">
        <f>HYPERLINK("https://sao.dolgi.msk.ru/account/1404255952/", 1404255952)</f>
        <v>1404255952</v>
      </c>
      <c r="F4905">
        <v>-3466.55</v>
      </c>
    </row>
    <row r="4906" spans="1:6" x14ac:dyDescent="0.25">
      <c r="A4906" t="s">
        <v>661</v>
      </c>
      <c r="B4906" t="s">
        <v>70</v>
      </c>
      <c r="C4906" s="5" t="str">
        <f t="shared" ref="C4906:C4907" si="237">" кв. "&amp;B4906</f>
        <v xml:space="preserve"> кв. 66</v>
      </c>
      <c r="D4906" s="5" t="str">
        <f>CONCATENATE(A4906,C4906)</f>
        <v>Валдайский пр., дом 13А к.1 кв. 66</v>
      </c>
      <c r="E4906" s="3">
        <f>HYPERLINK("https://sao.dolgi.msk.ru/account/1404254423/", 1404254423)</f>
        <v>1404254423</v>
      </c>
      <c r="F4906">
        <v>1695.37</v>
      </c>
    </row>
    <row r="4907" spans="1:6" x14ac:dyDescent="0.25">
      <c r="A4907" t="s">
        <v>661</v>
      </c>
      <c r="B4907" t="s">
        <v>71</v>
      </c>
      <c r="C4907" s="5" t="str">
        <f t="shared" si="237"/>
        <v xml:space="preserve"> кв. 67</v>
      </c>
      <c r="D4907" s="5" t="str">
        <f>CONCATENATE(A4907,C4907)</f>
        <v>Валдайский пр., дом 13А к.1 кв. 67</v>
      </c>
      <c r="E4907" s="3">
        <f>HYPERLINK("https://sao.dolgi.msk.ru/account/1404254722/", 1404254722)</f>
        <v>1404254722</v>
      </c>
      <c r="F4907">
        <v>1698.53</v>
      </c>
    </row>
    <row r="4908" spans="1:6" hidden="1" x14ac:dyDescent="0.25">
      <c r="A4908" t="s">
        <v>661</v>
      </c>
      <c r="B4908" t="s">
        <v>72</v>
      </c>
      <c r="E4908" s="3">
        <f>HYPERLINK("https://sao.dolgi.msk.ru/account/1404255979/", 1404255979)</f>
        <v>1404255979</v>
      </c>
      <c r="F4908">
        <v>-2981.68</v>
      </c>
    </row>
    <row r="4909" spans="1:6" hidden="1" x14ac:dyDescent="0.25">
      <c r="A4909" t="s">
        <v>661</v>
      </c>
      <c r="B4909" t="s">
        <v>73</v>
      </c>
      <c r="E4909" s="3">
        <f>HYPERLINK("https://sao.dolgi.msk.ru/account/1404255274/", 1404255274)</f>
        <v>1404255274</v>
      </c>
      <c r="F4909">
        <v>0</v>
      </c>
    </row>
    <row r="4910" spans="1:6" x14ac:dyDescent="0.25">
      <c r="A4910" t="s">
        <v>661</v>
      </c>
      <c r="B4910" t="s">
        <v>74</v>
      </c>
      <c r="C4910" s="5" t="str">
        <f>" кв. "&amp;B4910</f>
        <v xml:space="preserve"> кв. 70</v>
      </c>
      <c r="D4910" s="5" t="str">
        <f>CONCATENATE(A4910,C4910)</f>
        <v>Валдайский пр., дом 13А к.1 кв. 70</v>
      </c>
      <c r="E4910" s="3">
        <f>HYPERLINK("https://sao.dolgi.msk.ru/account/1404256832/", 1404256832)</f>
        <v>1404256832</v>
      </c>
      <c r="F4910">
        <v>946.05</v>
      </c>
    </row>
    <row r="4911" spans="1:6" hidden="1" x14ac:dyDescent="0.25">
      <c r="A4911" t="s">
        <v>661</v>
      </c>
      <c r="B4911" t="s">
        <v>75</v>
      </c>
      <c r="E4911" s="3">
        <f>HYPERLINK("https://sao.dolgi.msk.ru/account/1404254335/", 1404254335)</f>
        <v>1404254335</v>
      </c>
      <c r="F4911">
        <v>-260.44</v>
      </c>
    </row>
    <row r="4912" spans="1:6" hidden="1" x14ac:dyDescent="0.25">
      <c r="A4912" t="s">
        <v>661</v>
      </c>
      <c r="B4912" t="s">
        <v>76</v>
      </c>
      <c r="E4912" s="3">
        <f>HYPERLINK("https://sao.dolgi.msk.ru/account/1404256517/", 1404256517)</f>
        <v>1404256517</v>
      </c>
      <c r="F4912">
        <v>0</v>
      </c>
    </row>
    <row r="4913" spans="1:6" hidden="1" x14ac:dyDescent="0.25">
      <c r="A4913" t="s">
        <v>661</v>
      </c>
      <c r="B4913" t="s">
        <v>77</v>
      </c>
      <c r="E4913" s="3">
        <f>HYPERLINK("https://sao.dolgi.msk.ru/account/1404255573/", 1404255573)</f>
        <v>1404255573</v>
      </c>
      <c r="F4913">
        <v>-3620.07</v>
      </c>
    </row>
    <row r="4914" spans="1:6" hidden="1" x14ac:dyDescent="0.25">
      <c r="A4914" t="s">
        <v>661</v>
      </c>
      <c r="B4914" t="s">
        <v>78</v>
      </c>
      <c r="E4914" s="3">
        <f>HYPERLINK("https://sao.dolgi.msk.ru/account/1404256525/", 1404256525)</f>
        <v>1404256525</v>
      </c>
      <c r="F4914">
        <v>0</v>
      </c>
    </row>
    <row r="4915" spans="1:6" x14ac:dyDescent="0.25">
      <c r="A4915" t="s">
        <v>661</v>
      </c>
      <c r="B4915" t="s">
        <v>79</v>
      </c>
      <c r="C4915" s="5" t="str">
        <f>" кв. "&amp;B4915</f>
        <v xml:space="preserve"> кв. 75</v>
      </c>
      <c r="D4915" s="5" t="str">
        <f>CONCATENATE(A4915,C4915)</f>
        <v>Валдайский пр., дом 13А к.1 кв. 75</v>
      </c>
      <c r="E4915" s="3">
        <f>HYPERLINK("https://sao.dolgi.msk.ru/account/1404256197/", 1404256197)</f>
        <v>1404256197</v>
      </c>
      <c r="F4915">
        <v>1126.03</v>
      </c>
    </row>
    <row r="4916" spans="1:6" hidden="1" x14ac:dyDescent="0.25">
      <c r="A4916" t="s">
        <v>661</v>
      </c>
      <c r="B4916" t="s">
        <v>80</v>
      </c>
      <c r="E4916" s="3">
        <f>HYPERLINK("https://sao.dolgi.msk.ru/account/1404256349/", 1404256349)</f>
        <v>1404256349</v>
      </c>
      <c r="F4916">
        <v>-4289.28</v>
      </c>
    </row>
    <row r="4917" spans="1:6" hidden="1" x14ac:dyDescent="0.25">
      <c r="A4917" t="s">
        <v>661</v>
      </c>
      <c r="B4917" t="s">
        <v>81</v>
      </c>
      <c r="E4917" s="3">
        <f>HYPERLINK("https://sao.dolgi.msk.ru/account/1404256015/", 1404256015)</f>
        <v>1404256015</v>
      </c>
      <c r="F4917">
        <v>0</v>
      </c>
    </row>
    <row r="4918" spans="1:6" hidden="1" x14ac:dyDescent="0.25">
      <c r="A4918" t="s">
        <v>661</v>
      </c>
      <c r="B4918" t="s">
        <v>82</v>
      </c>
      <c r="E4918" s="3">
        <f>HYPERLINK("https://sao.dolgi.msk.ru/account/1404255717/", 1404255717)</f>
        <v>1404255717</v>
      </c>
      <c r="F4918">
        <v>-8900.5</v>
      </c>
    </row>
    <row r="4919" spans="1:6" hidden="1" x14ac:dyDescent="0.25">
      <c r="A4919" t="s">
        <v>661</v>
      </c>
      <c r="B4919" t="s">
        <v>83</v>
      </c>
      <c r="E4919" s="3">
        <f>HYPERLINK("https://sao.dolgi.msk.ru/account/1404255725/", 1404255725)</f>
        <v>1404255725</v>
      </c>
      <c r="F4919">
        <v>-1645.45</v>
      </c>
    </row>
    <row r="4920" spans="1:6" hidden="1" x14ac:dyDescent="0.25">
      <c r="A4920" t="s">
        <v>661</v>
      </c>
      <c r="B4920" t="s">
        <v>84</v>
      </c>
      <c r="E4920" s="3">
        <f>HYPERLINK("https://sao.dolgi.msk.ru/account/1404254466/", 1404254466)</f>
        <v>1404254466</v>
      </c>
      <c r="F4920">
        <v>-4280.04</v>
      </c>
    </row>
    <row r="4921" spans="1:6" hidden="1" x14ac:dyDescent="0.25">
      <c r="A4921" t="s">
        <v>661</v>
      </c>
      <c r="B4921" t="s">
        <v>85</v>
      </c>
      <c r="E4921" s="3">
        <f>HYPERLINK("https://sao.dolgi.msk.ru/account/1404254474/", 1404254474)</f>
        <v>1404254474</v>
      </c>
      <c r="F4921">
        <v>0</v>
      </c>
    </row>
    <row r="4922" spans="1:6" hidden="1" x14ac:dyDescent="0.25">
      <c r="A4922" t="s">
        <v>661</v>
      </c>
      <c r="B4922" t="s">
        <v>86</v>
      </c>
      <c r="E4922" s="3">
        <f>HYPERLINK("https://sao.dolgi.msk.ru/account/1404256023/", 1404256023)</f>
        <v>1404256023</v>
      </c>
      <c r="F4922">
        <v>-882.81</v>
      </c>
    </row>
    <row r="4923" spans="1:6" hidden="1" x14ac:dyDescent="0.25">
      <c r="A4923" t="s">
        <v>661</v>
      </c>
      <c r="B4923" t="s">
        <v>87</v>
      </c>
      <c r="E4923" s="3">
        <f>HYPERLINK("https://sao.dolgi.msk.ru/account/1404255434/", 1404255434)</f>
        <v>1404255434</v>
      </c>
      <c r="F4923">
        <v>-1650.07</v>
      </c>
    </row>
    <row r="4924" spans="1:6" hidden="1" x14ac:dyDescent="0.25">
      <c r="A4924" t="s">
        <v>661</v>
      </c>
      <c r="B4924" t="s">
        <v>88</v>
      </c>
      <c r="E4924" s="3">
        <f>HYPERLINK("https://sao.dolgi.msk.ru/account/1404255741/", 1404255741)</f>
        <v>1404255741</v>
      </c>
      <c r="F4924">
        <v>-4289.28</v>
      </c>
    </row>
    <row r="4925" spans="1:6" hidden="1" x14ac:dyDescent="0.25">
      <c r="A4925" t="s">
        <v>661</v>
      </c>
      <c r="B4925" t="s">
        <v>89</v>
      </c>
      <c r="E4925" s="3">
        <f>HYPERLINK("https://sao.dolgi.msk.ru/account/1404255768/", 1404255768)</f>
        <v>1404255768</v>
      </c>
      <c r="F4925">
        <v>-4280.04</v>
      </c>
    </row>
    <row r="4926" spans="1:6" x14ac:dyDescent="0.25">
      <c r="A4926" t="s">
        <v>661</v>
      </c>
      <c r="B4926" t="s">
        <v>90</v>
      </c>
      <c r="C4926" s="5" t="str">
        <f>" кв. "&amp;B4926</f>
        <v xml:space="preserve"> кв. 86</v>
      </c>
      <c r="D4926" s="5" t="str">
        <f>CONCATENATE(A4926,C4926)</f>
        <v>Валдайский пр., дом 13А к.1 кв. 86</v>
      </c>
      <c r="E4926" s="3">
        <f>HYPERLINK("https://sao.dolgi.msk.ru/account/1404256031/", 1404256031)</f>
        <v>1404256031</v>
      </c>
      <c r="F4926">
        <v>1129.19</v>
      </c>
    </row>
    <row r="4927" spans="1:6" hidden="1" x14ac:dyDescent="0.25">
      <c r="A4927" t="s">
        <v>661</v>
      </c>
      <c r="B4927" t="s">
        <v>91</v>
      </c>
      <c r="E4927" s="3">
        <f>HYPERLINK("https://sao.dolgi.msk.ru/account/1404256744/", 1404256744)</f>
        <v>1404256744</v>
      </c>
      <c r="F4927">
        <v>-1645.45</v>
      </c>
    </row>
    <row r="4928" spans="1:6" hidden="1" x14ac:dyDescent="0.25">
      <c r="A4928" t="s">
        <v>661</v>
      </c>
      <c r="B4928" t="s">
        <v>92</v>
      </c>
      <c r="E4928" s="3">
        <f>HYPERLINK("https://sao.dolgi.msk.ru/account/1404255442/", 1404255442)</f>
        <v>1404255442</v>
      </c>
      <c r="F4928">
        <v>0</v>
      </c>
    </row>
    <row r="4929" spans="1:6" x14ac:dyDescent="0.25">
      <c r="A4929" t="s">
        <v>661</v>
      </c>
      <c r="B4929" t="s">
        <v>93</v>
      </c>
      <c r="C4929" s="5" t="str">
        <f>" кв. "&amp;B4929</f>
        <v xml:space="preserve"> кв. 89</v>
      </c>
      <c r="D4929" s="5" t="str">
        <f>CONCATENATE(A4929,C4929)</f>
        <v>Валдайский пр., дом 13А к.1 кв. 89</v>
      </c>
      <c r="E4929" s="3">
        <f>HYPERLINK("https://sao.dolgi.msk.ru/account/1404256752/", 1404256752)</f>
        <v>1404256752</v>
      </c>
      <c r="F4929">
        <v>1764.95</v>
      </c>
    </row>
    <row r="4930" spans="1:6" hidden="1" x14ac:dyDescent="0.25">
      <c r="A4930" t="s">
        <v>661</v>
      </c>
      <c r="B4930" t="s">
        <v>94</v>
      </c>
      <c r="E4930" s="3">
        <f>HYPERLINK("https://sao.dolgi.msk.ru/account/1404256779/", 1404256779)</f>
        <v>1404256779</v>
      </c>
      <c r="F4930">
        <v>-1236.4100000000001</v>
      </c>
    </row>
    <row r="4931" spans="1:6" hidden="1" x14ac:dyDescent="0.25">
      <c r="A4931" t="s">
        <v>661</v>
      </c>
      <c r="B4931" t="s">
        <v>95</v>
      </c>
      <c r="E4931" s="3">
        <f>HYPERLINK("https://sao.dolgi.msk.ru/account/1404255039/", 1404255039)</f>
        <v>1404255039</v>
      </c>
      <c r="F4931">
        <v>-2227.44</v>
      </c>
    </row>
    <row r="4932" spans="1:6" hidden="1" x14ac:dyDescent="0.25">
      <c r="A4932" t="s">
        <v>661</v>
      </c>
      <c r="B4932" t="s">
        <v>96</v>
      </c>
      <c r="E4932" s="3">
        <f>HYPERLINK("https://sao.dolgi.msk.ru/account/1404255469/", 1404255469)</f>
        <v>1404255469</v>
      </c>
      <c r="F4932">
        <v>0</v>
      </c>
    </row>
    <row r="4933" spans="1:6" hidden="1" x14ac:dyDescent="0.25">
      <c r="A4933" t="s">
        <v>661</v>
      </c>
      <c r="B4933" t="s">
        <v>97</v>
      </c>
      <c r="E4933" s="3">
        <f>HYPERLINK("https://sao.dolgi.msk.ru/account/1404255047/", 1404255047)</f>
        <v>1404255047</v>
      </c>
      <c r="F4933">
        <v>-2123.77</v>
      </c>
    </row>
    <row r="4934" spans="1:6" x14ac:dyDescent="0.25">
      <c r="A4934" t="s">
        <v>661</v>
      </c>
      <c r="B4934" t="s">
        <v>98</v>
      </c>
      <c r="C4934" s="5" t="str">
        <f>" кв. "&amp;B4934</f>
        <v xml:space="preserve"> кв. 94</v>
      </c>
      <c r="D4934" s="5" t="str">
        <f>CONCATENATE(A4934,C4934)</f>
        <v>Валдайский пр., дом 13А к.1 кв. 94</v>
      </c>
      <c r="E4934" s="3">
        <f>HYPERLINK("https://sao.dolgi.msk.ru/account/1404256058/", 1404256058)</f>
        <v>1404256058</v>
      </c>
      <c r="F4934">
        <v>1698.53</v>
      </c>
    </row>
    <row r="4935" spans="1:6" hidden="1" x14ac:dyDescent="0.25">
      <c r="A4935" t="s">
        <v>661</v>
      </c>
      <c r="B4935" t="s">
        <v>99</v>
      </c>
      <c r="E4935" s="3">
        <f>HYPERLINK("https://sao.dolgi.msk.ru/account/1404256365/", 1404256365)</f>
        <v>1404256365</v>
      </c>
      <c r="F4935">
        <v>-2477.4299999999998</v>
      </c>
    </row>
    <row r="4936" spans="1:6" hidden="1" x14ac:dyDescent="0.25">
      <c r="A4936" t="s">
        <v>661</v>
      </c>
      <c r="B4936" t="s">
        <v>100</v>
      </c>
      <c r="E4936" s="3">
        <f>HYPERLINK("https://sao.dolgi.msk.ru/account/1404255055/", 1404255055)</f>
        <v>1404255055</v>
      </c>
      <c r="F4936">
        <v>-2019.83</v>
      </c>
    </row>
    <row r="4937" spans="1:6" hidden="1" x14ac:dyDescent="0.25">
      <c r="A4937" t="s">
        <v>661</v>
      </c>
      <c r="B4937" t="s">
        <v>101</v>
      </c>
      <c r="E4937" s="3">
        <f>HYPERLINK("https://sao.dolgi.msk.ru/account/1404256066/", 1404256066)</f>
        <v>1404256066</v>
      </c>
      <c r="F4937">
        <v>-3540.5</v>
      </c>
    </row>
    <row r="4938" spans="1:6" hidden="1" x14ac:dyDescent="0.25">
      <c r="A4938" t="s">
        <v>661</v>
      </c>
      <c r="B4938" t="s">
        <v>102</v>
      </c>
      <c r="E4938" s="3">
        <f>HYPERLINK("https://sao.dolgi.msk.ru/account/1404254765/", 1404254765)</f>
        <v>1404254765</v>
      </c>
      <c r="F4938">
        <v>-2472.81</v>
      </c>
    </row>
    <row r="4939" spans="1:6" hidden="1" x14ac:dyDescent="0.25">
      <c r="A4939" t="s">
        <v>661</v>
      </c>
      <c r="B4939" t="s">
        <v>103</v>
      </c>
      <c r="E4939" s="3">
        <f>HYPERLINK("https://sao.dolgi.msk.ru/account/1404255784/", 1404255784)</f>
        <v>1404255784</v>
      </c>
      <c r="F4939">
        <v>-1719.41</v>
      </c>
    </row>
    <row r="4940" spans="1:6" hidden="1" x14ac:dyDescent="0.25">
      <c r="A4940" t="s">
        <v>661</v>
      </c>
      <c r="B4940" t="s">
        <v>104</v>
      </c>
      <c r="E4940" s="3">
        <f>HYPERLINK("https://sao.dolgi.msk.ru/account/1404256402/", 1404256402)</f>
        <v>1404256402</v>
      </c>
      <c r="F4940">
        <v>-2635.53</v>
      </c>
    </row>
    <row r="4941" spans="1:6" hidden="1" x14ac:dyDescent="0.25">
      <c r="A4941" t="s">
        <v>661</v>
      </c>
      <c r="B4941" t="s">
        <v>105</v>
      </c>
      <c r="E4941" s="3">
        <f>HYPERLINK("https://sao.dolgi.msk.ru/account/1404254802/", 1404254802)</f>
        <v>1404254802</v>
      </c>
      <c r="F4941">
        <v>0</v>
      </c>
    </row>
    <row r="4942" spans="1:6" hidden="1" x14ac:dyDescent="0.25">
      <c r="A4942" t="s">
        <v>661</v>
      </c>
      <c r="B4942" t="s">
        <v>106</v>
      </c>
      <c r="E4942" s="3">
        <f>HYPERLINK("https://sao.dolgi.msk.ru/account/1404255485/", 1404255485)</f>
        <v>1404255485</v>
      </c>
      <c r="F4942">
        <v>-2468.1799999999998</v>
      </c>
    </row>
    <row r="4943" spans="1:6" x14ac:dyDescent="0.25">
      <c r="A4943" t="s">
        <v>661</v>
      </c>
      <c r="B4943" t="s">
        <v>107</v>
      </c>
      <c r="C4943" s="5" t="str">
        <f>" кв. "&amp;B4943</f>
        <v xml:space="preserve"> кв. 103</v>
      </c>
      <c r="D4943" s="5" t="str">
        <f>CONCATENATE(A4943,C4943)</f>
        <v>Валдайский пр., дом 13А к.1 кв. 103</v>
      </c>
      <c r="E4943" s="3">
        <f>HYPERLINK("https://sao.dolgi.msk.ru/account/1404254511/", 1404254511)</f>
        <v>1404254511</v>
      </c>
      <c r="F4943">
        <v>1692.21</v>
      </c>
    </row>
    <row r="4944" spans="1:6" hidden="1" x14ac:dyDescent="0.25">
      <c r="A4944" t="s">
        <v>661</v>
      </c>
      <c r="B4944" t="s">
        <v>108</v>
      </c>
      <c r="E4944" s="3">
        <f>HYPERLINK("https://sao.dolgi.msk.ru/account/1404256234/", 1404256234)</f>
        <v>1404256234</v>
      </c>
      <c r="F4944">
        <v>-2981.68</v>
      </c>
    </row>
    <row r="4945" spans="1:6" hidden="1" x14ac:dyDescent="0.25">
      <c r="A4945" t="s">
        <v>661</v>
      </c>
      <c r="B4945" t="s">
        <v>109</v>
      </c>
      <c r="E4945" s="3">
        <f>HYPERLINK("https://sao.dolgi.msk.ru/account/1404255645/", 1404255645)</f>
        <v>1404255645</v>
      </c>
      <c r="F4945">
        <v>-3545.12</v>
      </c>
    </row>
    <row r="4946" spans="1:6" hidden="1" x14ac:dyDescent="0.25">
      <c r="A4946" t="s">
        <v>661</v>
      </c>
      <c r="B4946" t="s">
        <v>110</v>
      </c>
      <c r="E4946" s="3">
        <f>HYPERLINK("https://sao.dolgi.msk.ru/account/1404254976/", 1404254976)</f>
        <v>1404254976</v>
      </c>
      <c r="F4946">
        <v>0</v>
      </c>
    </row>
    <row r="4947" spans="1:6" hidden="1" x14ac:dyDescent="0.25">
      <c r="A4947" t="s">
        <v>661</v>
      </c>
      <c r="B4947" t="s">
        <v>111</v>
      </c>
      <c r="E4947" s="3">
        <f>HYPERLINK("https://sao.dolgi.msk.ru/account/1404255928/", 1404255928)</f>
        <v>1404255928</v>
      </c>
      <c r="F4947">
        <v>-2482.0500000000002</v>
      </c>
    </row>
    <row r="4948" spans="1:6" x14ac:dyDescent="0.25">
      <c r="A4948" t="s">
        <v>661</v>
      </c>
      <c r="B4948" t="s">
        <v>112</v>
      </c>
      <c r="C4948" s="5" t="str">
        <f>" кв. "&amp;B4948</f>
        <v xml:space="preserve"> кв. 108</v>
      </c>
      <c r="D4948" s="5" t="str">
        <f>CONCATENATE(A4948,C4948)</f>
        <v>Валдайский пр., дом 13А к.1 кв. 108</v>
      </c>
      <c r="E4948" s="3">
        <f>HYPERLINK("https://sao.dolgi.msk.ru/account/1404255362/", 1404255362)</f>
        <v>1404255362</v>
      </c>
      <c r="F4948">
        <v>1764.95</v>
      </c>
    </row>
    <row r="4949" spans="1:6" hidden="1" x14ac:dyDescent="0.25">
      <c r="A4949" t="s">
        <v>661</v>
      </c>
      <c r="B4949" t="s">
        <v>113</v>
      </c>
      <c r="E4949" s="3">
        <f>HYPERLINK("https://sao.dolgi.msk.ru/account/1404256242/", 1404256242)</f>
        <v>1404256242</v>
      </c>
      <c r="F4949">
        <v>-3540.5</v>
      </c>
    </row>
    <row r="4950" spans="1:6" hidden="1" x14ac:dyDescent="0.25">
      <c r="A4950" t="s">
        <v>661</v>
      </c>
      <c r="B4950" t="s">
        <v>114</v>
      </c>
      <c r="E4950" s="3">
        <f>HYPERLINK("https://sao.dolgi.msk.ru/account/1404256613/", 1404256613)</f>
        <v>1404256613</v>
      </c>
      <c r="F4950">
        <v>-2472.81</v>
      </c>
    </row>
    <row r="4951" spans="1:6" hidden="1" x14ac:dyDescent="0.25">
      <c r="A4951" t="s">
        <v>661</v>
      </c>
      <c r="B4951" t="s">
        <v>115</v>
      </c>
      <c r="E4951" s="3">
        <f>HYPERLINK("https://sao.dolgi.msk.ru/account/1404255389/", 1404255389)</f>
        <v>1404255389</v>
      </c>
      <c r="F4951">
        <v>-2472.81</v>
      </c>
    </row>
    <row r="4952" spans="1:6" x14ac:dyDescent="0.25">
      <c r="A4952" t="s">
        <v>661</v>
      </c>
      <c r="B4952" t="s">
        <v>116</v>
      </c>
      <c r="C4952" s="5" t="str">
        <f>" кв. "&amp;B4952</f>
        <v xml:space="preserve"> кв. 112</v>
      </c>
      <c r="D4952" s="5" t="str">
        <f>CONCATENATE(A4952,C4952)</f>
        <v>Валдайский пр., дом 13А к.1 кв. 112</v>
      </c>
      <c r="E4952" s="3">
        <f>HYPERLINK("https://sao.dolgi.msk.ru/account/1404255653/", 1404255653)</f>
        <v>1404255653</v>
      </c>
      <c r="F4952">
        <v>1904.12</v>
      </c>
    </row>
    <row r="4953" spans="1:6" hidden="1" x14ac:dyDescent="0.25">
      <c r="A4953" t="s">
        <v>661</v>
      </c>
      <c r="B4953" t="s">
        <v>117</v>
      </c>
      <c r="E4953" s="3">
        <f>HYPERLINK("https://sao.dolgi.msk.ru/account/1404254685/", 1404254685)</f>
        <v>1404254685</v>
      </c>
      <c r="F4953">
        <v>0</v>
      </c>
    </row>
    <row r="4954" spans="1:6" hidden="1" x14ac:dyDescent="0.25">
      <c r="A4954" t="s">
        <v>661</v>
      </c>
      <c r="B4954" t="s">
        <v>118</v>
      </c>
      <c r="E4954" s="3">
        <f>HYPERLINK("https://sao.dolgi.msk.ru/account/1404254693/", 1404254693)</f>
        <v>1404254693</v>
      </c>
      <c r="F4954">
        <v>-541.32000000000005</v>
      </c>
    </row>
    <row r="4955" spans="1:6" x14ac:dyDescent="0.25">
      <c r="A4955" t="s">
        <v>661</v>
      </c>
      <c r="B4955" t="s">
        <v>119</v>
      </c>
      <c r="C4955" s="5" t="str">
        <f t="shared" ref="C4955:C4956" si="238">" кв. "&amp;B4955</f>
        <v xml:space="preserve"> кв. 115</v>
      </c>
      <c r="D4955" s="5" t="str">
        <f>CONCATENATE(A4955,C4955)</f>
        <v>Валдайский пр., дом 13А к.1 кв. 115</v>
      </c>
      <c r="E4955" s="3">
        <f>HYPERLINK("https://sao.dolgi.msk.ru/account/1404254984/", 1404254984)</f>
        <v>1404254984</v>
      </c>
      <c r="F4955">
        <v>1692.21</v>
      </c>
    </row>
    <row r="4956" spans="1:6" x14ac:dyDescent="0.25">
      <c r="A4956" t="s">
        <v>661</v>
      </c>
      <c r="B4956" t="s">
        <v>120</v>
      </c>
      <c r="C4956" s="5" t="str">
        <f t="shared" si="238"/>
        <v xml:space="preserve"> кв. 116</v>
      </c>
      <c r="D4956" s="5" t="str">
        <f>CONCATENATE(A4956,C4956)</f>
        <v>Валдайский пр., дом 13А к.1 кв. 116</v>
      </c>
      <c r="E4956" s="3">
        <f>HYPERLINK("https://sao.dolgi.msk.ru/account/1404256621/", 1404256621)</f>
        <v>1404256621</v>
      </c>
      <c r="F4956">
        <v>1755.47</v>
      </c>
    </row>
    <row r="4957" spans="1:6" hidden="1" x14ac:dyDescent="0.25">
      <c r="A4957" t="s">
        <v>661</v>
      </c>
      <c r="B4957" t="s">
        <v>121</v>
      </c>
      <c r="E4957" s="3">
        <f>HYPERLINK("https://sao.dolgi.msk.ru/account/1404256648/", 1404256648)</f>
        <v>1404256648</v>
      </c>
      <c r="F4957">
        <v>-2954.38</v>
      </c>
    </row>
    <row r="4958" spans="1:6" hidden="1" x14ac:dyDescent="0.25">
      <c r="A4958" t="s">
        <v>661</v>
      </c>
      <c r="B4958" t="s">
        <v>122</v>
      </c>
      <c r="E4958" s="3">
        <f>HYPERLINK("https://sao.dolgi.msk.ru/account/1404255936/", 1404255936)</f>
        <v>1404255936</v>
      </c>
      <c r="F4958">
        <v>-2472.81</v>
      </c>
    </row>
    <row r="4959" spans="1:6" hidden="1" x14ac:dyDescent="0.25">
      <c r="A4959" t="s">
        <v>661</v>
      </c>
      <c r="B4959" t="s">
        <v>123</v>
      </c>
      <c r="E4959" s="3">
        <f>HYPERLINK("https://sao.dolgi.msk.ru/account/1404255661/", 1404255661)</f>
        <v>1404255661</v>
      </c>
      <c r="F4959">
        <v>-299.10000000000002</v>
      </c>
    </row>
    <row r="4960" spans="1:6" hidden="1" x14ac:dyDescent="0.25">
      <c r="A4960" t="s">
        <v>661</v>
      </c>
      <c r="B4960" t="s">
        <v>124</v>
      </c>
      <c r="E4960" s="3">
        <f>HYPERLINK("https://sao.dolgi.msk.ru/account/1404254415/", 1404254415)</f>
        <v>1404254415</v>
      </c>
      <c r="F4960">
        <v>-2635.53</v>
      </c>
    </row>
    <row r="4961" spans="1:6" hidden="1" x14ac:dyDescent="0.25">
      <c r="A4961" t="s">
        <v>661</v>
      </c>
      <c r="B4961" t="s">
        <v>125</v>
      </c>
      <c r="E4961" s="3">
        <f>HYPERLINK("https://sao.dolgi.msk.ru/account/1404254992/", 1404254992)</f>
        <v>1404254992</v>
      </c>
      <c r="F4961">
        <v>0</v>
      </c>
    </row>
    <row r="4962" spans="1:6" hidden="1" x14ac:dyDescent="0.25">
      <c r="A4962" t="s">
        <v>661</v>
      </c>
      <c r="B4962" t="s">
        <v>125</v>
      </c>
      <c r="E4962" s="3">
        <f>HYPERLINK("https://sao.dolgi.msk.ru/account/1404255207/", 1404255207)</f>
        <v>1404255207</v>
      </c>
      <c r="F4962">
        <v>0</v>
      </c>
    </row>
    <row r="4963" spans="1:6" hidden="1" x14ac:dyDescent="0.25">
      <c r="A4963" t="s">
        <v>661</v>
      </c>
      <c r="B4963" t="s">
        <v>126</v>
      </c>
      <c r="E4963" s="3">
        <f>HYPERLINK("https://sao.dolgi.msk.ru/account/1404256576/", 1404256576)</f>
        <v>1404256576</v>
      </c>
      <c r="F4963">
        <v>0</v>
      </c>
    </row>
    <row r="4964" spans="1:6" hidden="1" x14ac:dyDescent="0.25">
      <c r="A4964" t="s">
        <v>661</v>
      </c>
      <c r="B4964" t="s">
        <v>127</v>
      </c>
      <c r="E4964" s="3">
        <f>HYPERLINK("https://sao.dolgi.msk.ru/account/1404255311/", 1404255311)</f>
        <v>1404255311</v>
      </c>
      <c r="F4964">
        <v>-2482.0500000000002</v>
      </c>
    </row>
    <row r="4965" spans="1:6" hidden="1" x14ac:dyDescent="0.25">
      <c r="A4965" t="s">
        <v>661</v>
      </c>
      <c r="B4965" t="s">
        <v>128</v>
      </c>
      <c r="E4965" s="3">
        <f>HYPERLINK("https://sao.dolgi.msk.ru/account/1404255864/", 1404255864)</f>
        <v>1404255864</v>
      </c>
      <c r="F4965">
        <v>-3535.88</v>
      </c>
    </row>
    <row r="4966" spans="1:6" hidden="1" x14ac:dyDescent="0.25">
      <c r="A4966" t="s">
        <v>661</v>
      </c>
      <c r="B4966" t="s">
        <v>129</v>
      </c>
      <c r="E4966" s="3">
        <f>HYPERLINK("https://sao.dolgi.msk.ru/account/1404255338/", 1404255338)</f>
        <v>1404255338</v>
      </c>
      <c r="F4966">
        <v>-3545.12</v>
      </c>
    </row>
    <row r="4967" spans="1:6" hidden="1" x14ac:dyDescent="0.25">
      <c r="A4967" t="s">
        <v>661</v>
      </c>
      <c r="B4967" t="s">
        <v>130</v>
      </c>
      <c r="E4967" s="3">
        <f>HYPERLINK("https://sao.dolgi.msk.ru/account/1404254669/", 1404254669)</f>
        <v>1404254669</v>
      </c>
      <c r="F4967">
        <v>0</v>
      </c>
    </row>
    <row r="4968" spans="1:6" hidden="1" x14ac:dyDescent="0.25">
      <c r="A4968" t="s">
        <v>661</v>
      </c>
      <c r="B4968" t="s">
        <v>131</v>
      </c>
      <c r="E4968" s="3">
        <f>HYPERLINK("https://sao.dolgi.msk.ru/account/1404256584/", 1404256584)</f>
        <v>1404256584</v>
      </c>
      <c r="F4968">
        <v>-2482.0500000000002</v>
      </c>
    </row>
    <row r="4969" spans="1:6" hidden="1" x14ac:dyDescent="0.25">
      <c r="A4969" t="s">
        <v>661</v>
      </c>
      <c r="B4969" t="s">
        <v>132</v>
      </c>
      <c r="E4969" s="3">
        <f>HYPERLINK("https://sao.dolgi.msk.ru/account/1404255629/", 1404255629)</f>
        <v>1404255629</v>
      </c>
      <c r="F4969">
        <v>-1933.99</v>
      </c>
    </row>
    <row r="4970" spans="1:6" hidden="1" x14ac:dyDescent="0.25">
      <c r="A4970" t="s">
        <v>661</v>
      </c>
      <c r="B4970" t="s">
        <v>133</v>
      </c>
      <c r="E4970" s="3">
        <f>HYPERLINK("https://sao.dolgi.msk.ru/account/1404255872/", 1404255872)</f>
        <v>1404255872</v>
      </c>
      <c r="F4970">
        <v>-2777.86</v>
      </c>
    </row>
    <row r="4971" spans="1:6" hidden="1" x14ac:dyDescent="0.25">
      <c r="A4971" t="s">
        <v>661</v>
      </c>
      <c r="B4971" t="s">
        <v>134</v>
      </c>
      <c r="E4971" s="3">
        <f>HYPERLINK("https://sao.dolgi.msk.ru/account/1404256592/", 1404256592)</f>
        <v>1404256592</v>
      </c>
      <c r="F4971">
        <v>0</v>
      </c>
    </row>
    <row r="4972" spans="1:6" hidden="1" x14ac:dyDescent="0.25">
      <c r="A4972" t="s">
        <v>661</v>
      </c>
      <c r="B4972" t="s">
        <v>135</v>
      </c>
      <c r="E4972" s="3">
        <f>HYPERLINK("https://sao.dolgi.msk.ru/account/1404254941/", 1404254941)</f>
        <v>1404254941</v>
      </c>
      <c r="F4972">
        <v>-2472.81</v>
      </c>
    </row>
    <row r="4973" spans="1:6" hidden="1" x14ac:dyDescent="0.25">
      <c r="A4973" t="s">
        <v>661</v>
      </c>
      <c r="B4973" t="s">
        <v>136</v>
      </c>
      <c r="E4973" s="3">
        <f>HYPERLINK("https://sao.dolgi.msk.ru/account/1404254394/", 1404254394)</f>
        <v>1404254394</v>
      </c>
      <c r="F4973">
        <v>-2768.61</v>
      </c>
    </row>
    <row r="4974" spans="1:6" hidden="1" x14ac:dyDescent="0.25">
      <c r="A4974" t="s">
        <v>661</v>
      </c>
      <c r="B4974" t="s">
        <v>137</v>
      </c>
      <c r="E4974" s="3">
        <f>HYPERLINK("https://sao.dolgi.msk.ru/account/1404255231/", 1404255231)</f>
        <v>1404255231</v>
      </c>
      <c r="F4974">
        <v>0</v>
      </c>
    </row>
    <row r="4975" spans="1:6" x14ac:dyDescent="0.25">
      <c r="A4975" t="s">
        <v>661</v>
      </c>
      <c r="B4975" t="s">
        <v>138</v>
      </c>
      <c r="C4975" s="5" t="str">
        <f>" кв. "&amp;B4975</f>
        <v xml:space="preserve"> кв. 134</v>
      </c>
      <c r="D4975" s="5" t="str">
        <f>CONCATENATE(A4975,C4975)</f>
        <v>Валдайский пр., дом 13А к.1 кв. 134</v>
      </c>
      <c r="E4975" s="3">
        <f>HYPERLINK("https://sao.dolgi.msk.ru/account/1404254407/", 1404254407)</f>
        <v>1404254407</v>
      </c>
      <c r="F4975">
        <v>1698.53</v>
      </c>
    </row>
    <row r="4976" spans="1:6" hidden="1" x14ac:dyDescent="0.25">
      <c r="A4976" t="s">
        <v>661</v>
      </c>
      <c r="B4976" t="s">
        <v>139</v>
      </c>
      <c r="E4976" s="3">
        <f>HYPERLINK("https://sao.dolgi.msk.ru/account/1404255899/", 1404255899)</f>
        <v>1404255899</v>
      </c>
      <c r="F4976">
        <v>0</v>
      </c>
    </row>
    <row r="4977" spans="1:6" hidden="1" x14ac:dyDescent="0.25">
      <c r="A4977" t="s">
        <v>661</v>
      </c>
      <c r="B4977" t="s">
        <v>140</v>
      </c>
      <c r="E4977" s="3">
        <f>HYPERLINK("https://sao.dolgi.msk.ru/account/1404255637/", 1404255637)</f>
        <v>1404255637</v>
      </c>
      <c r="F4977">
        <v>-3347.31</v>
      </c>
    </row>
    <row r="4978" spans="1:6" x14ac:dyDescent="0.25">
      <c r="A4978" t="s">
        <v>661</v>
      </c>
      <c r="B4978" t="s">
        <v>141</v>
      </c>
      <c r="C4978" s="5" t="str">
        <f>" кв. "&amp;B4978</f>
        <v xml:space="preserve"> кв. 137</v>
      </c>
      <c r="D4978" s="5" t="str">
        <f>CONCATENATE(A4978,C4978)</f>
        <v>Валдайский пр., дом 13А к.1 кв. 137</v>
      </c>
      <c r="E4978" s="3">
        <f>HYPERLINK("https://sao.dolgi.msk.ru/account/1404255901/", 1404255901)</f>
        <v>1404255901</v>
      </c>
      <c r="F4978">
        <v>1982.2</v>
      </c>
    </row>
    <row r="4979" spans="1:6" hidden="1" x14ac:dyDescent="0.25">
      <c r="A4979" t="s">
        <v>661</v>
      </c>
      <c r="B4979" t="s">
        <v>142</v>
      </c>
      <c r="E4979" s="3">
        <f>HYPERLINK("https://sao.dolgi.msk.ru/account/1404256605/", 1404256605)</f>
        <v>1404256605</v>
      </c>
      <c r="F4979">
        <v>-1203.0999999999999</v>
      </c>
    </row>
    <row r="4980" spans="1:6" hidden="1" x14ac:dyDescent="0.25">
      <c r="A4980" t="s">
        <v>661</v>
      </c>
      <c r="B4980" t="s">
        <v>143</v>
      </c>
      <c r="E4980" s="3">
        <f>HYPERLINK("https://sao.dolgi.msk.ru/account/1404255258/", 1404255258)</f>
        <v>1404255258</v>
      </c>
      <c r="F4980">
        <v>-1466.93</v>
      </c>
    </row>
    <row r="4981" spans="1:6" hidden="1" x14ac:dyDescent="0.25">
      <c r="A4981" t="s">
        <v>661</v>
      </c>
      <c r="B4981" t="s">
        <v>144</v>
      </c>
      <c r="E4981" s="3">
        <f>HYPERLINK("https://sao.dolgi.msk.ru/account/1404256496/", 1404256496)</f>
        <v>1404256496</v>
      </c>
      <c r="F4981">
        <v>-2810.6</v>
      </c>
    </row>
    <row r="4982" spans="1:6" hidden="1" x14ac:dyDescent="0.25">
      <c r="A4982" t="s">
        <v>661</v>
      </c>
      <c r="B4982" t="s">
        <v>145</v>
      </c>
      <c r="E4982" s="3">
        <f>HYPERLINK("https://sao.dolgi.msk.ru/account/1404256883/", 1404256883)</f>
        <v>1404256883</v>
      </c>
      <c r="F4982">
        <v>-7201.2</v>
      </c>
    </row>
    <row r="4983" spans="1:6" hidden="1" x14ac:dyDescent="0.25">
      <c r="A4983" t="s">
        <v>661</v>
      </c>
      <c r="B4983" t="s">
        <v>146</v>
      </c>
      <c r="E4983" s="3">
        <f>HYPERLINK("https://sao.dolgi.msk.ru/account/1404255354/", 1404255354)</f>
        <v>1404255354</v>
      </c>
      <c r="F4983">
        <v>-1645.45</v>
      </c>
    </row>
    <row r="4984" spans="1:6" hidden="1" x14ac:dyDescent="0.25">
      <c r="A4984" t="s">
        <v>661</v>
      </c>
      <c r="B4984" t="s">
        <v>147</v>
      </c>
      <c r="E4984" s="3">
        <f>HYPERLINK("https://sao.dolgi.msk.ru/account/1404254677/", 1404254677)</f>
        <v>1404254677</v>
      </c>
      <c r="F4984">
        <v>-1640.83</v>
      </c>
    </row>
    <row r="4985" spans="1:6" hidden="1" x14ac:dyDescent="0.25">
      <c r="A4985" t="s">
        <v>661</v>
      </c>
      <c r="B4985" t="s">
        <v>148</v>
      </c>
      <c r="E4985" s="3">
        <f>HYPERLINK("https://sao.dolgi.msk.ru/account/1404254968/", 1404254968)</f>
        <v>1404254968</v>
      </c>
      <c r="F4985">
        <v>-3004.74</v>
      </c>
    </row>
    <row r="4986" spans="1:6" x14ac:dyDescent="0.25">
      <c r="A4986" t="s">
        <v>661</v>
      </c>
      <c r="B4986" t="s">
        <v>149</v>
      </c>
      <c r="C4986" s="5" t="str">
        <f>" кв. "&amp;B4986</f>
        <v xml:space="preserve"> кв. 145</v>
      </c>
      <c r="D4986" s="5" t="str">
        <f>CONCATENATE(A4986,C4986)</f>
        <v>Валдайский пр., дом 13А к.1 кв. 145</v>
      </c>
      <c r="E4986" s="3">
        <f>HYPERLINK("https://sao.dolgi.msk.ru/account/1404255215/", 1404255215)</f>
        <v>1404255215</v>
      </c>
      <c r="F4986">
        <v>2922.61</v>
      </c>
    </row>
    <row r="4987" spans="1:6" hidden="1" x14ac:dyDescent="0.25">
      <c r="A4987" t="s">
        <v>661</v>
      </c>
      <c r="B4987" t="s">
        <v>150</v>
      </c>
      <c r="E4987" s="3">
        <f>HYPERLINK("https://sao.dolgi.msk.ru/account/1404255223/", 1404255223)</f>
        <v>1404255223</v>
      </c>
      <c r="F4987">
        <v>-1645.45</v>
      </c>
    </row>
    <row r="4988" spans="1:6" hidden="1" x14ac:dyDescent="0.25">
      <c r="A4988" t="s">
        <v>661</v>
      </c>
      <c r="B4988" t="s">
        <v>151</v>
      </c>
      <c r="E4988" s="3">
        <f>HYPERLINK("https://sao.dolgi.msk.ru/account/1404255565/", 1404255565)</f>
        <v>1404255565</v>
      </c>
      <c r="F4988">
        <v>0</v>
      </c>
    </row>
    <row r="4989" spans="1:6" hidden="1" x14ac:dyDescent="0.25">
      <c r="A4989" t="s">
        <v>661</v>
      </c>
      <c r="B4989" t="s">
        <v>152</v>
      </c>
      <c r="E4989" s="3">
        <f>HYPERLINK("https://sao.dolgi.msk.ru/account/1404254896/", 1404254896)</f>
        <v>1404254896</v>
      </c>
      <c r="F4989">
        <v>-4178.3500000000004</v>
      </c>
    </row>
    <row r="4990" spans="1:6" hidden="1" x14ac:dyDescent="0.25">
      <c r="A4990" t="s">
        <v>661</v>
      </c>
      <c r="B4990" t="s">
        <v>153</v>
      </c>
      <c r="E4990" s="3">
        <f>HYPERLINK("https://sao.dolgi.msk.ru/account/1404256461/", 1404256461)</f>
        <v>1404256461</v>
      </c>
      <c r="F4990">
        <v>-4284.66</v>
      </c>
    </row>
    <row r="4991" spans="1:6" x14ac:dyDescent="0.25">
      <c r="A4991" t="s">
        <v>661</v>
      </c>
      <c r="B4991" t="s">
        <v>154</v>
      </c>
      <c r="C4991" s="5" t="str">
        <f t="shared" ref="C4991:C4992" si="239">" кв. "&amp;B4991</f>
        <v xml:space="preserve"> кв. 150</v>
      </c>
      <c r="D4991" s="5" t="str">
        <f>CONCATENATE(A4991,C4991)</f>
        <v>Валдайский пр., дом 13А к.1 кв. 150</v>
      </c>
      <c r="E4991" s="3">
        <f>HYPERLINK("https://sao.dolgi.msk.ru/account/1404255848/", 1404255848)</f>
        <v>1404255848</v>
      </c>
      <c r="F4991">
        <v>1132.3499999999999</v>
      </c>
    </row>
    <row r="4992" spans="1:6" x14ac:dyDescent="0.25">
      <c r="A4992" t="s">
        <v>661</v>
      </c>
      <c r="B4992" t="s">
        <v>155</v>
      </c>
      <c r="C4992" s="5" t="str">
        <f t="shared" si="239"/>
        <v xml:space="preserve"> кв. 151</v>
      </c>
      <c r="D4992" s="5" t="str">
        <f>CONCATENATE(A4992,C4992)</f>
        <v>Валдайский пр., дом 13А к.1 кв. 151</v>
      </c>
      <c r="E4992" s="3">
        <f>HYPERLINK("https://sao.dolgi.msk.ru/account/1404254888/", 1404254888)</f>
        <v>1404254888</v>
      </c>
      <c r="F4992">
        <v>1132.3499999999999</v>
      </c>
    </row>
    <row r="4993" spans="1:6" hidden="1" x14ac:dyDescent="0.25">
      <c r="A4993" t="s">
        <v>661</v>
      </c>
      <c r="B4993" t="s">
        <v>156</v>
      </c>
      <c r="E4993" s="3">
        <f>HYPERLINK("https://sao.dolgi.msk.ru/account/1404255194/", 1404255194)</f>
        <v>1404255194</v>
      </c>
      <c r="F4993">
        <v>-4192.22</v>
      </c>
    </row>
    <row r="4994" spans="1:6" hidden="1" x14ac:dyDescent="0.25">
      <c r="A4994" t="s">
        <v>661</v>
      </c>
      <c r="B4994" t="s">
        <v>157</v>
      </c>
      <c r="E4994" s="3">
        <f>HYPERLINK("https://sao.dolgi.msk.ru/account/1404255821/", 1404255821)</f>
        <v>1404255821</v>
      </c>
      <c r="F4994">
        <v>0</v>
      </c>
    </row>
    <row r="4995" spans="1:6" hidden="1" x14ac:dyDescent="0.25">
      <c r="A4995" t="s">
        <v>661</v>
      </c>
      <c r="B4995" t="s">
        <v>158</v>
      </c>
      <c r="E4995" s="3">
        <f>HYPERLINK("https://sao.dolgi.msk.ru/account/1404255557/", 1404255557)</f>
        <v>1404255557</v>
      </c>
      <c r="F4995">
        <v>-1645.45</v>
      </c>
    </row>
    <row r="4996" spans="1:6" hidden="1" x14ac:dyDescent="0.25">
      <c r="A4996" t="s">
        <v>661</v>
      </c>
      <c r="B4996" t="s">
        <v>159</v>
      </c>
      <c r="E4996" s="3">
        <f>HYPERLINK("https://sao.dolgi.msk.ru/account/1404254861/", 1404254861)</f>
        <v>1404254861</v>
      </c>
      <c r="F4996">
        <v>-1650.07</v>
      </c>
    </row>
    <row r="4997" spans="1:6" hidden="1" x14ac:dyDescent="0.25">
      <c r="A4997" t="s">
        <v>661</v>
      </c>
      <c r="B4997" t="s">
        <v>160</v>
      </c>
      <c r="E4997" s="3">
        <f>HYPERLINK("https://sao.dolgi.msk.ru/account/1404255282/", 1404255282)</f>
        <v>1404255282</v>
      </c>
      <c r="F4997">
        <v>0</v>
      </c>
    </row>
    <row r="4998" spans="1:6" x14ac:dyDescent="0.25">
      <c r="A4998" t="s">
        <v>661</v>
      </c>
      <c r="B4998" t="s">
        <v>161</v>
      </c>
      <c r="C4998" s="5" t="str">
        <f>" кв. "&amp;B4998</f>
        <v xml:space="preserve"> кв. 157</v>
      </c>
      <c r="D4998" s="5" t="str">
        <f>CONCATENATE(A4998,C4998)</f>
        <v>Валдайский пр., дом 13А к.1 кв. 157</v>
      </c>
      <c r="E4998" s="3">
        <f>HYPERLINK("https://sao.dolgi.msk.ru/account/1404256533/", 1404256533)</f>
        <v>1404256533</v>
      </c>
      <c r="F4998">
        <v>2422.86</v>
      </c>
    </row>
    <row r="4999" spans="1:6" hidden="1" x14ac:dyDescent="0.25">
      <c r="A4999" t="s">
        <v>661</v>
      </c>
      <c r="B4999" t="s">
        <v>162</v>
      </c>
      <c r="E4999" s="3">
        <f>HYPERLINK("https://sao.dolgi.msk.ru/account/1404254343/", 1404254343)</f>
        <v>1404254343</v>
      </c>
      <c r="F4999">
        <v>-2472.81</v>
      </c>
    </row>
    <row r="5000" spans="1:6" hidden="1" x14ac:dyDescent="0.25">
      <c r="A5000" t="s">
        <v>661</v>
      </c>
      <c r="B5000" t="s">
        <v>163</v>
      </c>
      <c r="E5000" s="3">
        <f>HYPERLINK("https://sao.dolgi.msk.ru/account/1404256541/", 1404256541)</f>
        <v>1404256541</v>
      </c>
      <c r="F5000">
        <v>-2472.81</v>
      </c>
    </row>
    <row r="5001" spans="1:6" hidden="1" x14ac:dyDescent="0.25">
      <c r="A5001" t="s">
        <v>661</v>
      </c>
      <c r="B5001" t="s">
        <v>164</v>
      </c>
      <c r="E5001" s="3">
        <f>HYPERLINK("https://sao.dolgi.msk.ru/account/1404255581/", 1404255581)</f>
        <v>1404255581</v>
      </c>
      <c r="F5001">
        <v>-2399.65</v>
      </c>
    </row>
    <row r="5002" spans="1:6" hidden="1" x14ac:dyDescent="0.25">
      <c r="A5002" t="s">
        <v>661</v>
      </c>
      <c r="B5002" t="s">
        <v>165</v>
      </c>
      <c r="E5002" s="3">
        <f>HYPERLINK("https://sao.dolgi.msk.ru/account/1404255303/", 1404255303)</f>
        <v>1404255303</v>
      </c>
      <c r="F5002">
        <v>-3545.12</v>
      </c>
    </row>
    <row r="5003" spans="1:6" hidden="1" x14ac:dyDescent="0.25">
      <c r="A5003" t="s">
        <v>661</v>
      </c>
      <c r="B5003" t="s">
        <v>166</v>
      </c>
      <c r="E5003" s="3">
        <f>HYPERLINK("https://sao.dolgi.msk.ru/account/1404254925/", 1404254925)</f>
        <v>1404254925</v>
      </c>
      <c r="F5003">
        <v>-2477.4299999999998</v>
      </c>
    </row>
    <row r="5004" spans="1:6" hidden="1" x14ac:dyDescent="0.25">
      <c r="A5004" t="s">
        <v>661</v>
      </c>
      <c r="B5004" t="s">
        <v>167</v>
      </c>
      <c r="E5004" s="3">
        <f>HYPERLINK("https://sao.dolgi.msk.ru/account/1404255602/", 1404255602)</f>
        <v>1404255602</v>
      </c>
      <c r="F5004">
        <v>-2082.5100000000002</v>
      </c>
    </row>
    <row r="5005" spans="1:6" hidden="1" x14ac:dyDescent="0.25">
      <c r="A5005" t="s">
        <v>661</v>
      </c>
      <c r="B5005" t="s">
        <v>168</v>
      </c>
      <c r="E5005" s="3">
        <f>HYPERLINK("https://sao.dolgi.msk.ru/account/1404254351/", 1404254351)</f>
        <v>1404254351</v>
      </c>
      <c r="F5005">
        <v>-3457.3</v>
      </c>
    </row>
    <row r="5006" spans="1:6" hidden="1" x14ac:dyDescent="0.25">
      <c r="A5006" t="s">
        <v>661</v>
      </c>
      <c r="B5006" t="s">
        <v>169</v>
      </c>
      <c r="E5006" s="3">
        <f>HYPERLINK("https://sao.dolgi.msk.ru/account/1404256218/", 1404256218)</f>
        <v>1404256218</v>
      </c>
      <c r="F5006">
        <v>-2123.77</v>
      </c>
    </row>
    <row r="5007" spans="1:6" hidden="1" x14ac:dyDescent="0.25">
      <c r="A5007" t="s">
        <v>661</v>
      </c>
      <c r="B5007" t="s">
        <v>170</v>
      </c>
      <c r="E5007" s="3">
        <f>HYPERLINK("https://sao.dolgi.msk.ru/account/1404254634/", 1404254634)</f>
        <v>1404254634</v>
      </c>
      <c r="F5007">
        <v>-2191.71</v>
      </c>
    </row>
    <row r="5008" spans="1:6" x14ac:dyDescent="0.25">
      <c r="A5008" t="s">
        <v>661</v>
      </c>
      <c r="B5008" t="s">
        <v>170</v>
      </c>
      <c r="C5008" s="5" t="str">
        <f>" кв. "&amp;B5008</f>
        <v xml:space="preserve"> кв. 166</v>
      </c>
      <c r="D5008" s="5" t="str">
        <f>CONCATENATE(A5008,C5008)</f>
        <v>Валдайский пр., дом 13А к.1 кв. 166</v>
      </c>
      <c r="E5008" s="3">
        <f>HYPERLINK("https://sao.dolgi.msk.ru/account/1404254933/", 1404254933)</f>
        <v>1404254933</v>
      </c>
      <c r="F5008">
        <v>844.52</v>
      </c>
    </row>
    <row r="5009" spans="1:6" hidden="1" x14ac:dyDescent="0.25">
      <c r="A5009" t="s">
        <v>661</v>
      </c>
      <c r="B5009" t="s">
        <v>171</v>
      </c>
      <c r="E5009" s="3">
        <f>HYPERLINK("https://sao.dolgi.msk.ru/account/1404254642/", 1404254642)</f>
        <v>1404254642</v>
      </c>
      <c r="F5009">
        <v>-2082.5100000000002</v>
      </c>
    </row>
    <row r="5010" spans="1:6" hidden="1" x14ac:dyDescent="0.25">
      <c r="A5010" t="s">
        <v>661</v>
      </c>
      <c r="B5010" t="s">
        <v>172</v>
      </c>
      <c r="E5010" s="3">
        <f>HYPERLINK("https://sao.dolgi.msk.ru/account/1404256226/", 1404256226)</f>
        <v>1404256226</v>
      </c>
      <c r="F5010">
        <v>-1780.67</v>
      </c>
    </row>
    <row r="5011" spans="1:6" hidden="1" x14ac:dyDescent="0.25">
      <c r="A5011" t="s">
        <v>661</v>
      </c>
      <c r="B5011" t="s">
        <v>173</v>
      </c>
      <c r="E5011" s="3">
        <f>HYPERLINK("https://sao.dolgi.msk.ru/account/1404256568/", 1404256568)</f>
        <v>1404256568</v>
      </c>
      <c r="F5011">
        <v>-3531.25</v>
      </c>
    </row>
    <row r="5012" spans="1:6" x14ac:dyDescent="0.25">
      <c r="A5012" t="s">
        <v>661</v>
      </c>
      <c r="B5012" t="s">
        <v>174</v>
      </c>
      <c r="C5012" s="5" t="str">
        <f>" кв. "&amp;B5012</f>
        <v xml:space="preserve"> кв. 170</v>
      </c>
      <c r="D5012" s="5" t="str">
        <f>CONCATENATE(A5012,C5012)</f>
        <v>Валдайский пр., дом 13А к.1 кв. 170</v>
      </c>
      <c r="E5012" s="3">
        <f>HYPERLINK("https://sao.dolgi.msk.ru/account/1404255995/", 1404255995)</f>
        <v>1404255995</v>
      </c>
      <c r="F5012">
        <v>1689.04</v>
      </c>
    </row>
    <row r="5013" spans="1:6" hidden="1" x14ac:dyDescent="0.25">
      <c r="A5013" t="s">
        <v>661</v>
      </c>
      <c r="B5013" t="s">
        <v>175</v>
      </c>
      <c r="E5013" s="3">
        <f>HYPERLINK("https://sao.dolgi.msk.ru/account/1404254378/", 1404254378)</f>
        <v>1404254378</v>
      </c>
      <c r="F5013">
        <v>0</v>
      </c>
    </row>
    <row r="5014" spans="1:6" hidden="1" x14ac:dyDescent="0.25">
      <c r="A5014" t="s">
        <v>661</v>
      </c>
      <c r="B5014" t="s">
        <v>176</v>
      </c>
      <c r="E5014" s="3">
        <f>HYPERLINK("https://sao.dolgi.msk.ru/account/1404256875/", 1404256875)</f>
        <v>1404256875</v>
      </c>
      <c r="F5014">
        <v>-2903.82</v>
      </c>
    </row>
    <row r="5015" spans="1:6" x14ac:dyDescent="0.25">
      <c r="A5015" t="s">
        <v>661</v>
      </c>
      <c r="B5015" t="s">
        <v>177</v>
      </c>
      <c r="C5015" s="5" t="str">
        <f>" кв. "&amp;B5015</f>
        <v xml:space="preserve"> кв. 173</v>
      </c>
      <c r="D5015" s="5" t="str">
        <f>CONCATENATE(A5015,C5015)</f>
        <v>Валдайский пр., дом 13А к.1 кв. 173</v>
      </c>
      <c r="E5015" s="3">
        <f>HYPERLINK("https://sao.dolgi.msk.ru/account/1404256007/", 1404256007)</f>
        <v>1404256007</v>
      </c>
      <c r="F5015">
        <v>2419.6999999999998</v>
      </c>
    </row>
    <row r="5016" spans="1:6" hidden="1" x14ac:dyDescent="0.25">
      <c r="A5016" t="s">
        <v>661</v>
      </c>
      <c r="B5016" t="s">
        <v>178</v>
      </c>
      <c r="E5016" s="3">
        <f>HYPERLINK("https://sao.dolgi.msk.ru/account/1404256322/", 1404256322)</f>
        <v>1404256322</v>
      </c>
      <c r="F5016">
        <v>-2477.4299999999998</v>
      </c>
    </row>
    <row r="5017" spans="1:6" hidden="1" x14ac:dyDescent="0.25">
      <c r="A5017" t="s">
        <v>661</v>
      </c>
      <c r="B5017" t="s">
        <v>179</v>
      </c>
      <c r="E5017" s="3">
        <f>HYPERLINK("https://sao.dolgi.msk.ru/account/1404255418/", 1404255418)</f>
        <v>1404255418</v>
      </c>
      <c r="F5017">
        <v>-2468.1799999999998</v>
      </c>
    </row>
    <row r="5018" spans="1:6" hidden="1" x14ac:dyDescent="0.25">
      <c r="A5018" t="s">
        <v>661</v>
      </c>
      <c r="B5018" t="s">
        <v>180</v>
      </c>
      <c r="E5018" s="3">
        <f>HYPERLINK("https://sao.dolgi.msk.ru/account/1404254458/", 1404254458)</f>
        <v>1404254458</v>
      </c>
      <c r="F5018">
        <v>-2247.37</v>
      </c>
    </row>
    <row r="5019" spans="1:6" x14ac:dyDescent="0.25">
      <c r="A5019" t="s">
        <v>661</v>
      </c>
      <c r="B5019" t="s">
        <v>181</v>
      </c>
      <c r="C5019" s="5" t="str">
        <f t="shared" ref="C5019:C5020" si="240">" кв. "&amp;B5019</f>
        <v xml:space="preserve"> кв. 177</v>
      </c>
      <c r="D5019" s="5" t="str">
        <f>CONCATENATE(A5019,C5019)</f>
        <v>Валдайский пр., дом 13А к.1 кв. 177</v>
      </c>
      <c r="E5019" s="3">
        <f>HYPERLINK("https://sao.dolgi.msk.ru/account/1404256701/", 1404256701)</f>
        <v>1404256701</v>
      </c>
      <c r="F5019">
        <v>2422.86</v>
      </c>
    </row>
    <row r="5020" spans="1:6" x14ac:dyDescent="0.25">
      <c r="A5020" t="s">
        <v>661</v>
      </c>
      <c r="B5020" t="s">
        <v>182</v>
      </c>
      <c r="C5020" s="5" t="str">
        <f t="shared" si="240"/>
        <v xml:space="preserve"> кв. 178</v>
      </c>
      <c r="D5020" s="5" t="str">
        <f>CONCATENATE(A5020,C5020)</f>
        <v>Валдайский пр., дом 13А к.1 кв. 178</v>
      </c>
      <c r="E5020" s="3">
        <f>HYPERLINK("https://sao.dolgi.msk.ru/account/1404256728/", 1404256728)</f>
        <v>1404256728</v>
      </c>
      <c r="F5020">
        <v>1695.37</v>
      </c>
    </row>
    <row r="5021" spans="1:6" hidden="1" x14ac:dyDescent="0.25">
      <c r="A5021" t="s">
        <v>661</v>
      </c>
      <c r="B5021" t="s">
        <v>183</v>
      </c>
      <c r="E5021" s="3">
        <f>HYPERLINK("https://sao.dolgi.msk.ru/account/1404255426/", 1404255426)</f>
        <v>1404255426</v>
      </c>
      <c r="F5021">
        <v>-2472.81</v>
      </c>
    </row>
    <row r="5022" spans="1:6" hidden="1" x14ac:dyDescent="0.25">
      <c r="A5022" t="s">
        <v>661</v>
      </c>
      <c r="B5022" t="s">
        <v>184</v>
      </c>
      <c r="E5022" s="3">
        <f>HYPERLINK("https://sao.dolgi.msk.ru/account/1404255063/", 1404255063)</f>
        <v>1404255063</v>
      </c>
      <c r="F5022">
        <v>-3457.3</v>
      </c>
    </row>
    <row r="5023" spans="1:6" hidden="1" x14ac:dyDescent="0.25">
      <c r="A5023" t="s">
        <v>661</v>
      </c>
      <c r="B5023" t="s">
        <v>185</v>
      </c>
      <c r="E5023" s="3">
        <f>HYPERLINK("https://sao.dolgi.msk.ru/account/1404255071/", 1404255071)</f>
        <v>1404255071</v>
      </c>
      <c r="F5023">
        <v>-2989.46</v>
      </c>
    </row>
    <row r="5024" spans="1:6" hidden="1" x14ac:dyDescent="0.25">
      <c r="A5024" t="s">
        <v>661</v>
      </c>
      <c r="B5024" t="s">
        <v>186</v>
      </c>
      <c r="E5024" s="3">
        <f>HYPERLINK("https://sao.dolgi.msk.ru/account/1404256787/", 1404256787)</f>
        <v>1404256787</v>
      </c>
      <c r="F5024">
        <v>-2472.81</v>
      </c>
    </row>
    <row r="5025" spans="1:6" hidden="1" x14ac:dyDescent="0.25">
      <c r="A5025" t="s">
        <v>661</v>
      </c>
      <c r="B5025" t="s">
        <v>187</v>
      </c>
      <c r="E5025" s="3">
        <f>HYPERLINK("https://sao.dolgi.msk.ru/account/1404256074/", 1404256074)</f>
        <v>1404256074</v>
      </c>
      <c r="F5025">
        <v>-2477.4299999999998</v>
      </c>
    </row>
    <row r="5026" spans="1:6" x14ac:dyDescent="0.25">
      <c r="A5026" t="s">
        <v>661</v>
      </c>
      <c r="B5026" t="s">
        <v>188</v>
      </c>
      <c r="C5026" s="5" t="str">
        <f>" кв. "&amp;B5026</f>
        <v xml:space="preserve"> кв. 184</v>
      </c>
      <c r="D5026" s="5" t="str">
        <f>CONCATENATE(A5026,C5026)</f>
        <v>Валдайский пр., дом 13А к.1 кв. 184</v>
      </c>
      <c r="E5026" s="3">
        <f>HYPERLINK("https://sao.dolgi.msk.ru/account/1404254917/", 1404254917)</f>
        <v>1404254917</v>
      </c>
      <c r="F5026">
        <v>1181.3800000000001</v>
      </c>
    </row>
    <row r="5027" spans="1:6" hidden="1" x14ac:dyDescent="0.25">
      <c r="A5027" t="s">
        <v>661</v>
      </c>
      <c r="B5027" t="s">
        <v>189</v>
      </c>
      <c r="E5027" s="3">
        <f>HYPERLINK("https://sao.dolgi.msk.ru/account/1404254773/", 1404254773)</f>
        <v>1404254773</v>
      </c>
      <c r="F5027">
        <v>-3349.84</v>
      </c>
    </row>
    <row r="5028" spans="1:6" x14ac:dyDescent="0.25">
      <c r="A5028" t="s">
        <v>661</v>
      </c>
      <c r="B5028" t="s">
        <v>190</v>
      </c>
      <c r="C5028" s="5" t="str">
        <f t="shared" ref="C5028:C5029" si="241">" кв. "&amp;B5028</f>
        <v xml:space="preserve"> кв. 186</v>
      </c>
      <c r="D5028" s="5" t="str">
        <f>CONCATENATE(A5028,C5028)</f>
        <v>Валдайский пр., дом 13А к.1 кв. 186</v>
      </c>
      <c r="E5028" s="3">
        <f>HYPERLINK("https://sao.dolgi.msk.ru/account/1404256082/", 1404256082)</f>
        <v>1404256082</v>
      </c>
      <c r="F5028">
        <v>1692.21</v>
      </c>
    </row>
    <row r="5029" spans="1:6" x14ac:dyDescent="0.25">
      <c r="A5029" t="s">
        <v>661</v>
      </c>
      <c r="B5029" t="s">
        <v>191</v>
      </c>
      <c r="C5029" s="5" t="str">
        <f t="shared" si="241"/>
        <v xml:space="preserve"> кв. 187</v>
      </c>
      <c r="D5029" s="5" t="str">
        <f>CONCATENATE(A5029,C5029)</f>
        <v>Валдайский пр., дом 13А к.1 кв. 187</v>
      </c>
      <c r="E5029" s="3">
        <f>HYPERLINK("https://sao.dolgi.msk.ru/account/1404256103/", 1404256103)</f>
        <v>1404256103</v>
      </c>
      <c r="F5029">
        <v>1692.21</v>
      </c>
    </row>
    <row r="5030" spans="1:6" hidden="1" x14ac:dyDescent="0.25">
      <c r="A5030" t="s">
        <v>661</v>
      </c>
      <c r="B5030" t="s">
        <v>192</v>
      </c>
      <c r="E5030" s="3">
        <f>HYPERLINK("https://sao.dolgi.msk.ru/account/1404256373/", 1404256373)</f>
        <v>1404256373</v>
      </c>
      <c r="F5030">
        <v>-5815.44</v>
      </c>
    </row>
    <row r="5031" spans="1:6" hidden="1" x14ac:dyDescent="0.25">
      <c r="A5031" t="s">
        <v>661</v>
      </c>
      <c r="B5031" t="s">
        <v>193</v>
      </c>
      <c r="E5031" s="3">
        <f>HYPERLINK("https://sao.dolgi.msk.ru/account/1404255477/", 1404255477)</f>
        <v>1404255477</v>
      </c>
      <c r="F5031">
        <v>0</v>
      </c>
    </row>
    <row r="5032" spans="1:6" hidden="1" x14ac:dyDescent="0.25">
      <c r="A5032" t="s">
        <v>661</v>
      </c>
      <c r="B5032" t="s">
        <v>194</v>
      </c>
      <c r="E5032" s="3">
        <f>HYPERLINK("https://sao.dolgi.msk.ru/account/1404254482/", 1404254482)</f>
        <v>1404254482</v>
      </c>
      <c r="F5032">
        <v>-617.04</v>
      </c>
    </row>
    <row r="5033" spans="1:6" hidden="1" x14ac:dyDescent="0.25">
      <c r="A5033" t="s">
        <v>661</v>
      </c>
      <c r="B5033" t="s">
        <v>194</v>
      </c>
      <c r="E5033" s="3">
        <f>HYPERLINK("https://sao.dolgi.msk.ru/account/1404255098/", 1404255098)</f>
        <v>1404255098</v>
      </c>
      <c r="F5033">
        <v>-1558.96</v>
      </c>
    </row>
    <row r="5034" spans="1:6" x14ac:dyDescent="0.25">
      <c r="A5034" t="s">
        <v>661</v>
      </c>
      <c r="B5034" t="s">
        <v>195</v>
      </c>
      <c r="C5034" s="5" t="str">
        <f>" кв. "&amp;B5034</f>
        <v xml:space="preserve"> кв. 191</v>
      </c>
      <c r="D5034" s="5" t="str">
        <f>CONCATENATE(A5034,C5034)</f>
        <v>Валдайский пр., дом 13А к.1 кв. 191</v>
      </c>
      <c r="E5034" s="3">
        <f>HYPERLINK("https://sao.dolgi.msk.ru/account/1404255119/", 1404255119)</f>
        <v>1404255119</v>
      </c>
      <c r="F5034">
        <v>1692.21</v>
      </c>
    </row>
    <row r="5035" spans="1:6" hidden="1" x14ac:dyDescent="0.25">
      <c r="A5035" t="s">
        <v>661</v>
      </c>
      <c r="B5035" t="s">
        <v>196</v>
      </c>
      <c r="E5035" s="3">
        <f>HYPERLINK("https://sao.dolgi.msk.ru/account/1404254829/", 1404254829)</f>
        <v>1404254829</v>
      </c>
      <c r="F5035">
        <v>-3461.93</v>
      </c>
    </row>
    <row r="5036" spans="1:6" hidden="1" x14ac:dyDescent="0.25">
      <c r="A5036" t="s">
        <v>661</v>
      </c>
      <c r="B5036" t="s">
        <v>197</v>
      </c>
      <c r="E5036" s="3">
        <f>HYPERLINK("https://sao.dolgi.msk.ru/account/1404255792/", 1404255792)</f>
        <v>1404255792</v>
      </c>
      <c r="F5036">
        <v>0</v>
      </c>
    </row>
    <row r="5037" spans="1:6" x14ac:dyDescent="0.25">
      <c r="A5037" t="s">
        <v>661</v>
      </c>
      <c r="B5037" t="s">
        <v>198</v>
      </c>
      <c r="C5037" s="5" t="str">
        <f>" кв. "&amp;B5037</f>
        <v xml:space="preserve"> кв. 194</v>
      </c>
      <c r="D5037" s="5" t="str">
        <f>CONCATENATE(A5037,C5037)</f>
        <v>Валдайский пр., дом 13А к.1 кв. 194</v>
      </c>
      <c r="E5037" s="3">
        <f>HYPERLINK("https://sao.dolgi.msk.ru/account/1404254538/", 1404254538)</f>
        <v>1404254538</v>
      </c>
      <c r="F5037">
        <v>1685.88</v>
      </c>
    </row>
    <row r="5038" spans="1:6" hidden="1" x14ac:dyDescent="0.25">
      <c r="A5038" t="s">
        <v>661</v>
      </c>
      <c r="B5038" t="s">
        <v>199</v>
      </c>
      <c r="E5038" s="3">
        <f>HYPERLINK("https://sao.dolgi.msk.ru/account/1404256138/", 1404256138)</f>
        <v>1404256138</v>
      </c>
      <c r="F5038">
        <v>-1705.54</v>
      </c>
    </row>
    <row r="5039" spans="1:6" x14ac:dyDescent="0.25">
      <c r="A5039" t="s">
        <v>661</v>
      </c>
      <c r="B5039" t="s">
        <v>200</v>
      </c>
      <c r="C5039" s="5" t="str">
        <f t="shared" ref="C5039:C5040" si="242">" кв. "&amp;B5039</f>
        <v xml:space="preserve"> кв. 196</v>
      </c>
      <c r="D5039" s="5" t="str">
        <f>CONCATENATE(A5039,C5039)</f>
        <v>Валдайский пр., дом 13А к.1 кв. 196</v>
      </c>
      <c r="E5039" s="3">
        <f>HYPERLINK("https://sao.dolgi.msk.ru/account/1404256795/", 1404256795)</f>
        <v>1404256795</v>
      </c>
      <c r="F5039">
        <v>1837.7</v>
      </c>
    </row>
    <row r="5040" spans="1:6" x14ac:dyDescent="0.25">
      <c r="A5040" t="s">
        <v>661</v>
      </c>
      <c r="B5040" t="s">
        <v>201</v>
      </c>
      <c r="C5040" s="5" t="str">
        <f t="shared" si="242"/>
        <v xml:space="preserve"> кв. 197</v>
      </c>
      <c r="D5040" s="5" t="str">
        <f>CONCATENATE(A5040,C5040)</f>
        <v>Валдайский пр., дом 13А к.1 кв. 197</v>
      </c>
      <c r="E5040" s="3">
        <f>HYPERLINK("https://sao.dolgi.msk.ru/account/1404255493/", 1404255493)</f>
        <v>1404255493</v>
      </c>
      <c r="F5040">
        <v>2426.02</v>
      </c>
    </row>
    <row r="5041" spans="1:6" hidden="1" x14ac:dyDescent="0.25">
      <c r="A5041" t="s">
        <v>661</v>
      </c>
      <c r="B5041" t="s">
        <v>202</v>
      </c>
      <c r="E5041" s="3">
        <f>HYPERLINK("https://sao.dolgi.msk.ru/account/1404256429/", 1404256429)</f>
        <v>1404256429</v>
      </c>
      <c r="F5041">
        <v>-2482.0500000000002</v>
      </c>
    </row>
    <row r="5042" spans="1:6" hidden="1" x14ac:dyDescent="0.25">
      <c r="A5042" t="s">
        <v>661</v>
      </c>
      <c r="B5042" t="s">
        <v>203</v>
      </c>
      <c r="E5042" s="3">
        <f>HYPERLINK("https://sao.dolgi.msk.ru/account/1404255805/", 1404255805)</f>
        <v>1404255805</v>
      </c>
      <c r="F5042">
        <v>0</v>
      </c>
    </row>
    <row r="5043" spans="1:6" x14ac:dyDescent="0.25">
      <c r="A5043" t="s">
        <v>661</v>
      </c>
      <c r="B5043" t="s">
        <v>204</v>
      </c>
      <c r="C5043" s="5" t="str">
        <f>" кв. "&amp;B5043</f>
        <v xml:space="preserve"> кв. 200</v>
      </c>
      <c r="D5043" s="5" t="str">
        <f>CONCATENATE(A5043,C5043)</f>
        <v>Валдайский пр., дом 13А к.1 кв. 200</v>
      </c>
      <c r="E5043" s="3">
        <f>HYPERLINK("https://sao.dolgi.msk.ru/account/1404256146/", 1404256146)</f>
        <v>1404256146</v>
      </c>
      <c r="F5043">
        <v>2359.6</v>
      </c>
    </row>
    <row r="5044" spans="1:6" hidden="1" x14ac:dyDescent="0.25">
      <c r="A5044" t="s">
        <v>661</v>
      </c>
      <c r="B5044" t="s">
        <v>205</v>
      </c>
      <c r="E5044" s="3">
        <f>HYPERLINK("https://sao.dolgi.msk.ru/account/1404256509/", 1404256509)</f>
        <v>1404256509</v>
      </c>
      <c r="F5044">
        <v>0</v>
      </c>
    </row>
    <row r="5045" spans="1:6" hidden="1" x14ac:dyDescent="0.25">
      <c r="A5045" t="s">
        <v>661</v>
      </c>
      <c r="B5045" t="s">
        <v>206</v>
      </c>
      <c r="E5045" s="3">
        <f>HYPERLINK("https://sao.dolgi.msk.ru/account/1404256154/", 1404256154)</f>
        <v>1404256154</v>
      </c>
      <c r="F5045">
        <v>0</v>
      </c>
    </row>
    <row r="5046" spans="1:6" hidden="1" x14ac:dyDescent="0.25">
      <c r="A5046" t="s">
        <v>661</v>
      </c>
      <c r="B5046" t="s">
        <v>207</v>
      </c>
      <c r="E5046" s="3">
        <f>HYPERLINK("https://sao.dolgi.msk.ru/account/1404256816/", 1404256816)</f>
        <v>1404256816</v>
      </c>
      <c r="F5046">
        <v>-2482.0500000000002</v>
      </c>
    </row>
    <row r="5047" spans="1:6" hidden="1" x14ac:dyDescent="0.25">
      <c r="A5047" t="s">
        <v>661</v>
      </c>
      <c r="B5047" t="s">
        <v>208</v>
      </c>
      <c r="E5047" s="3">
        <f>HYPERLINK("https://sao.dolgi.msk.ru/account/1404255135/", 1404255135)</f>
        <v>1404255135</v>
      </c>
      <c r="F5047">
        <v>-817.44</v>
      </c>
    </row>
    <row r="5048" spans="1:6" hidden="1" x14ac:dyDescent="0.25">
      <c r="A5048" t="s">
        <v>662</v>
      </c>
      <c r="B5048" t="s">
        <v>5</v>
      </c>
      <c r="E5048" s="3">
        <f>HYPERLINK("https://sao.dolgi.msk.ru/account/1404135168/", 1404135168)</f>
        <v>1404135168</v>
      </c>
      <c r="F5048">
        <v>0</v>
      </c>
    </row>
    <row r="5049" spans="1:6" hidden="1" x14ac:dyDescent="0.25">
      <c r="A5049" t="s">
        <v>662</v>
      </c>
      <c r="B5049" t="s">
        <v>5</v>
      </c>
      <c r="E5049" s="3">
        <f>HYPERLINK("https://sao.dolgi.msk.ru/account/1404293836/", 1404293836)</f>
        <v>1404293836</v>
      </c>
      <c r="F5049">
        <v>0</v>
      </c>
    </row>
    <row r="5050" spans="1:6" hidden="1" x14ac:dyDescent="0.25">
      <c r="A5050" t="s">
        <v>662</v>
      </c>
      <c r="B5050" t="s">
        <v>6</v>
      </c>
      <c r="E5050" s="3">
        <f>HYPERLINK("https://sao.dolgi.msk.ru/account/1404134798/", 1404134798)</f>
        <v>1404134798</v>
      </c>
      <c r="F5050">
        <v>-3227.17</v>
      </c>
    </row>
    <row r="5051" spans="1:6" hidden="1" x14ac:dyDescent="0.25">
      <c r="A5051" t="s">
        <v>662</v>
      </c>
      <c r="B5051" t="s">
        <v>7</v>
      </c>
      <c r="E5051" s="3">
        <f>HYPERLINK("https://sao.dolgi.msk.ru/account/1404134018/", 1404134018)</f>
        <v>1404134018</v>
      </c>
      <c r="F5051">
        <v>-2952.3</v>
      </c>
    </row>
    <row r="5052" spans="1:6" hidden="1" x14ac:dyDescent="0.25">
      <c r="A5052" t="s">
        <v>662</v>
      </c>
      <c r="B5052" t="s">
        <v>8</v>
      </c>
      <c r="E5052" s="3">
        <f>HYPERLINK("https://sao.dolgi.msk.ru/account/1404134405/", 1404134405)</f>
        <v>1404134405</v>
      </c>
      <c r="F5052">
        <v>-100.27</v>
      </c>
    </row>
    <row r="5053" spans="1:6" hidden="1" x14ac:dyDescent="0.25">
      <c r="A5053" t="s">
        <v>662</v>
      </c>
      <c r="B5053" t="s">
        <v>9</v>
      </c>
      <c r="E5053" s="3">
        <f>HYPERLINK("https://sao.dolgi.msk.ru/account/1404134843/", 1404134843)</f>
        <v>1404134843</v>
      </c>
      <c r="F5053">
        <v>-5049.1899999999996</v>
      </c>
    </row>
    <row r="5054" spans="1:6" x14ac:dyDescent="0.25">
      <c r="A5054" t="s">
        <v>662</v>
      </c>
      <c r="B5054" t="s">
        <v>10</v>
      </c>
      <c r="C5054" s="5" t="str">
        <f t="shared" ref="C5054:C5056" si="243">" кв. "&amp;B5054</f>
        <v xml:space="preserve"> кв. 6</v>
      </c>
      <c r="D5054" s="5" t="str">
        <f>CONCATENATE(A5054,C5054)</f>
        <v>Валдайский пр., дом 21 кв. 6</v>
      </c>
      <c r="E5054" s="3">
        <f>HYPERLINK("https://sao.dolgi.msk.ru/account/1404134042/", 1404134042)</f>
        <v>1404134042</v>
      </c>
      <c r="F5054">
        <v>4069.62</v>
      </c>
    </row>
    <row r="5055" spans="1:6" x14ac:dyDescent="0.25">
      <c r="A5055" t="s">
        <v>662</v>
      </c>
      <c r="B5055" t="s">
        <v>11</v>
      </c>
      <c r="C5055" s="5" t="str">
        <f t="shared" si="243"/>
        <v xml:space="preserve"> кв. 7</v>
      </c>
      <c r="D5055" s="5" t="str">
        <f>CONCATENATE(A5055,C5055)</f>
        <v>Валдайский пр., дом 21 кв. 7</v>
      </c>
      <c r="E5055" s="3">
        <f>HYPERLINK("https://sao.dolgi.msk.ru/account/1404134886/", 1404134886)</f>
        <v>1404134886</v>
      </c>
      <c r="F5055">
        <v>76795.34</v>
      </c>
    </row>
    <row r="5056" spans="1:6" x14ac:dyDescent="0.25">
      <c r="A5056" t="s">
        <v>662</v>
      </c>
      <c r="B5056" t="s">
        <v>12</v>
      </c>
      <c r="C5056" s="5" t="str">
        <f t="shared" si="243"/>
        <v xml:space="preserve"> кв. 8</v>
      </c>
      <c r="D5056" s="5" t="str">
        <f>CONCATENATE(A5056,C5056)</f>
        <v>Валдайский пр., дом 21 кв. 8</v>
      </c>
      <c r="E5056" s="3">
        <f>HYPERLINK("https://sao.dolgi.msk.ru/account/1404134317/", 1404134317)</f>
        <v>1404134317</v>
      </c>
      <c r="F5056">
        <v>59095.93</v>
      </c>
    </row>
    <row r="5057" spans="1:6" hidden="1" x14ac:dyDescent="0.25">
      <c r="A5057" t="s">
        <v>662</v>
      </c>
      <c r="B5057" t="s">
        <v>13</v>
      </c>
      <c r="E5057" s="3">
        <f>HYPERLINK("https://sao.dolgi.msk.ru/account/1404134333/", 1404134333)</f>
        <v>1404134333</v>
      </c>
      <c r="F5057">
        <v>-8392.15</v>
      </c>
    </row>
    <row r="5058" spans="1:6" hidden="1" x14ac:dyDescent="0.25">
      <c r="A5058" t="s">
        <v>662</v>
      </c>
      <c r="B5058" t="s">
        <v>14</v>
      </c>
      <c r="E5058" s="3">
        <f>HYPERLINK("https://sao.dolgi.msk.ru/account/1404133875/", 1404133875)</f>
        <v>1404133875</v>
      </c>
      <c r="F5058">
        <v>-3531.36</v>
      </c>
    </row>
    <row r="5059" spans="1:6" hidden="1" x14ac:dyDescent="0.25">
      <c r="A5059" t="s">
        <v>662</v>
      </c>
      <c r="B5059" t="s">
        <v>15</v>
      </c>
      <c r="E5059" s="3">
        <f>HYPERLINK("https://sao.dolgi.msk.ru/account/1404134536/", 1404134536)</f>
        <v>1404134536</v>
      </c>
      <c r="F5059">
        <v>-3189.57</v>
      </c>
    </row>
    <row r="5060" spans="1:6" hidden="1" x14ac:dyDescent="0.25">
      <c r="A5060" t="s">
        <v>662</v>
      </c>
      <c r="B5060" t="s">
        <v>16</v>
      </c>
      <c r="E5060" s="3">
        <f>HYPERLINK("https://sao.dolgi.msk.ru/account/1404133912/", 1404133912)</f>
        <v>1404133912</v>
      </c>
      <c r="F5060">
        <v>-2222.9899999999998</v>
      </c>
    </row>
    <row r="5061" spans="1:6" hidden="1" x14ac:dyDescent="0.25">
      <c r="A5061" t="s">
        <v>662</v>
      </c>
      <c r="B5061" t="s">
        <v>17</v>
      </c>
      <c r="E5061" s="3">
        <f>HYPERLINK("https://sao.dolgi.msk.ru/account/1404134739/", 1404134739)</f>
        <v>1404134739</v>
      </c>
      <c r="F5061">
        <v>-284.39</v>
      </c>
    </row>
    <row r="5062" spans="1:6" x14ac:dyDescent="0.25">
      <c r="A5062" t="s">
        <v>662</v>
      </c>
      <c r="B5062" t="s">
        <v>18</v>
      </c>
      <c r="C5062" s="5" t="str">
        <f>" кв. "&amp;B5062</f>
        <v xml:space="preserve"> кв. 14</v>
      </c>
      <c r="D5062" s="5" t="str">
        <f>CONCATENATE(A5062,C5062)</f>
        <v>Валдайский пр., дом 21 кв. 14</v>
      </c>
      <c r="E5062" s="3">
        <f>HYPERLINK("https://sao.dolgi.msk.ru/account/1404135248/", 1404135248)</f>
        <v>1404135248</v>
      </c>
      <c r="F5062">
        <v>3064.39</v>
      </c>
    </row>
    <row r="5063" spans="1:6" hidden="1" x14ac:dyDescent="0.25">
      <c r="A5063" t="s">
        <v>662</v>
      </c>
      <c r="B5063" t="s">
        <v>19</v>
      </c>
      <c r="E5063" s="3">
        <f>HYPERLINK("https://sao.dolgi.msk.ru/account/1404134181/", 1404134181)</f>
        <v>1404134181</v>
      </c>
      <c r="F5063">
        <v>0</v>
      </c>
    </row>
    <row r="5064" spans="1:6" hidden="1" x14ac:dyDescent="0.25">
      <c r="A5064" t="s">
        <v>662</v>
      </c>
      <c r="B5064" t="s">
        <v>20</v>
      </c>
      <c r="E5064" s="3">
        <f>HYPERLINK("https://sao.dolgi.msk.ru/account/1404133971/", 1404133971)</f>
        <v>1404133971</v>
      </c>
      <c r="F5064">
        <v>-6952.85</v>
      </c>
    </row>
    <row r="5065" spans="1:6" hidden="1" x14ac:dyDescent="0.25">
      <c r="A5065" t="s">
        <v>662</v>
      </c>
      <c r="B5065" t="s">
        <v>21</v>
      </c>
      <c r="E5065" s="3">
        <f>HYPERLINK("https://sao.dolgi.msk.ru/account/1404134763/", 1404134763)</f>
        <v>1404134763</v>
      </c>
      <c r="F5065">
        <v>-7976.18</v>
      </c>
    </row>
    <row r="5066" spans="1:6" hidden="1" x14ac:dyDescent="0.25">
      <c r="A5066" t="s">
        <v>662</v>
      </c>
      <c r="B5066" t="s">
        <v>22</v>
      </c>
      <c r="E5066" s="3">
        <f>HYPERLINK("https://sao.dolgi.msk.ru/account/1404134771/", 1404134771)</f>
        <v>1404134771</v>
      </c>
      <c r="F5066">
        <v>-2690.36</v>
      </c>
    </row>
    <row r="5067" spans="1:6" hidden="1" x14ac:dyDescent="0.25">
      <c r="A5067" t="s">
        <v>662</v>
      </c>
      <c r="B5067" t="s">
        <v>23</v>
      </c>
      <c r="E5067" s="3">
        <f>HYPERLINK("https://sao.dolgi.msk.ru/account/1404134579/", 1404134579)</f>
        <v>1404134579</v>
      </c>
      <c r="F5067">
        <v>0</v>
      </c>
    </row>
    <row r="5068" spans="1:6" hidden="1" x14ac:dyDescent="0.25">
      <c r="A5068" t="s">
        <v>662</v>
      </c>
      <c r="B5068" t="s">
        <v>24</v>
      </c>
      <c r="E5068" s="3">
        <f>HYPERLINK("https://sao.dolgi.msk.ru/account/1404135256/", 1404135256)</f>
        <v>1404135256</v>
      </c>
      <c r="F5068">
        <v>-1557.3</v>
      </c>
    </row>
    <row r="5069" spans="1:6" hidden="1" x14ac:dyDescent="0.25">
      <c r="A5069" t="s">
        <v>662</v>
      </c>
      <c r="B5069" t="s">
        <v>25</v>
      </c>
      <c r="E5069" s="3">
        <f>HYPERLINK("https://sao.dolgi.msk.ru/account/1404134704/", 1404134704)</f>
        <v>1404134704</v>
      </c>
      <c r="F5069">
        <v>-2008.04</v>
      </c>
    </row>
    <row r="5070" spans="1:6" hidden="1" x14ac:dyDescent="0.25">
      <c r="A5070" t="s">
        <v>662</v>
      </c>
      <c r="B5070" t="s">
        <v>25</v>
      </c>
      <c r="E5070" s="3">
        <f>HYPERLINK("https://sao.dolgi.msk.ru/account/1404134819/", 1404134819)</f>
        <v>1404134819</v>
      </c>
      <c r="F5070">
        <v>-3916.18</v>
      </c>
    </row>
    <row r="5071" spans="1:6" hidden="1" x14ac:dyDescent="0.25">
      <c r="A5071" t="s">
        <v>662</v>
      </c>
      <c r="B5071" t="s">
        <v>26</v>
      </c>
      <c r="E5071" s="3">
        <f>HYPERLINK("https://sao.dolgi.msk.ru/account/1404134587/", 1404134587)</f>
        <v>1404134587</v>
      </c>
      <c r="F5071">
        <v>-2704.41</v>
      </c>
    </row>
    <row r="5072" spans="1:6" hidden="1" x14ac:dyDescent="0.25">
      <c r="A5072" t="s">
        <v>662</v>
      </c>
      <c r="B5072" t="s">
        <v>27</v>
      </c>
      <c r="E5072" s="3">
        <f>HYPERLINK("https://sao.dolgi.msk.ru/account/1404135061/", 1404135061)</f>
        <v>1404135061</v>
      </c>
      <c r="F5072">
        <v>-3627.24</v>
      </c>
    </row>
    <row r="5073" spans="1:6" hidden="1" x14ac:dyDescent="0.25">
      <c r="A5073" t="s">
        <v>662</v>
      </c>
      <c r="B5073" t="s">
        <v>28</v>
      </c>
      <c r="E5073" s="3">
        <f>HYPERLINK("https://sao.dolgi.msk.ru/account/1404135264/", 1404135264)</f>
        <v>1404135264</v>
      </c>
      <c r="F5073">
        <v>0</v>
      </c>
    </row>
    <row r="5074" spans="1:6" hidden="1" x14ac:dyDescent="0.25">
      <c r="A5074" t="s">
        <v>662</v>
      </c>
      <c r="B5074" t="s">
        <v>29</v>
      </c>
      <c r="E5074" s="3">
        <f>HYPERLINK("https://sao.dolgi.msk.ru/account/1404135432/", 1404135432)</f>
        <v>1404135432</v>
      </c>
      <c r="F5074">
        <v>-6197.63</v>
      </c>
    </row>
    <row r="5075" spans="1:6" hidden="1" x14ac:dyDescent="0.25">
      <c r="A5075" t="s">
        <v>662</v>
      </c>
      <c r="B5075" t="s">
        <v>30</v>
      </c>
      <c r="E5075" s="3">
        <f>HYPERLINK("https://sao.dolgi.msk.ru/account/1404133998/", 1404133998)</f>
        <v>1404133998</v>
      </c>
      <c r="F5075">
        <v>0</v>
      </c>
    </row>
    <row r="5076" spans="1:6" hidden="1" x14ac:dyDescent="0.25">
      <c r="A5076" t="s">
        <v>662</v>
      </c>
      <c r="B5076" t="s">
        <v>31</v>
      </c>
      <c r="E5076" s="3">
        <f>HYPERLINK("https://sao.dolgi.msk.ru/account/1404135272/", 1404135272)</f>
        <v>1404135272</v>
      </c>
      <c r="F5076">
        <v>-5907</v>
      </c>
    </row>
    <row r="5077" spans="1:6" hidden="1" x14ac:dyDescent="0.25">
      <c r="A5077" t="s">
        <v>662</v>
      </c>
      <c r="B5077" t="s">
        <v>32</v>
      </c>
      <c r="E5077" s="3">
        <f>HYPERLINK("https://sao.dolgi.msk.ru/account/1404134827/", 1404134827)</f>
        <v>1404134827</v>
      </c>
      <c r="F5077">
        <v>-4896.33</v>
      </c>
    </row>
    <row r="5078" spans="1:6" hidden="1" x14ac:dyDescent="0.25">
      <c r="A5078" t="s">
        <v>662</v>
      </c>
      <c r="B5078" t="s">
        <v>33</v>
      </c>
      <c r="E5078" s="3">
        <f>HYPERLINK("https://sao.dolgi.msk.ru/account/1404135459/", 1404135459)</f>
        <v>1404135459</v>
      </c>
      <c r="F5078">
        <v>-6228.44</v>
      </c>
    </row>
    <row r="5079" spans="1:6" hidden="1" x14ac:dyDescent="0.25">
      <c r="A5079" t="s">
        <v>662</v>
      </c>
      <c r="B5079" t="s">
        <v>34</v>
      </c>
      <c r="E5079" s="3">
        <f>HYPERLINK("https://sao.dolgi.msk.ru/account/1404135467/", 1404135467)</f>
        <v>1404135467</v>
      </c>
      <c r="F5079">
        <v>-1718.33</v>
      </c>
    </row>
    <row r="5080" spans="1:6" hidden="1" x14ac:dyDescent="0.25">
      <c r="A5080" t="s">
        <v>662</v>
      </c>
      <c r="B5080" t="s">
        <v>35</v>
      </c>
      <c r="E5080" s="3">
        <f>HYPERLINK("https://sao.dolgi.msk.ru/account/1404135088/", 1404135088)</f>
        <v>1404135088</v>
      </c>
      <c r="F5080">
        <v>-2203.62</v>
      </c>
    </row>
    <row r="5081" spans="1:6" hidden="1" x14ac:dyDescent="0.25">
      <c r="A5081" t="s">
        <v>662</v>
      </c>
      <c r="B5081" t="s">
        <v>36</v>
      </c>
      <c r="E5081" s="3">
        <f>HYPERLINK("https://sao.dolgi.msk.ru/account/1404135299/", 1404135299)</f>
        <v>1404135299</v>
      </c>
      <c r="F5081">
        <v>-3697.1</v>
      </c>
    </row>
    <row r="5082" spans="1:6" hidden="1" x14ac:dyDescent="0.25">
      <c r="A5082" t="s">
        <v>662</v>
      </c>
      <c r="B5082" t="s">
        <v>37</v>
      </c>
      <c r="E5082" s="3">
        <f>HYPERLINK("https://sao.dolgi.msk.ru/account/1404134835/", 1404134835)</f>
        <v>1404134835</v>
      </c>
      <c r="F5082">
        <v>-6123.49</v>
      </c>
    </row>
    <row r="5083" spans="1:6" hidden="1" x14ac:dyDescent="0.25">
      <c r="A5083" t="s">
        <v>662</v>
      </c>
      <c r="B5083" t="s">
        <v>38</v>
      </c>
      <c r="E5083" s="3">
        <f>HYPERLINK("https://sao.dolgi.msk.ru/account/1404134384/", 1404134384)</f>
        <v>1404134384</v>
      </c>
      <c r="F5083">
        <v>-3169.34</v>
      </c>
    </row>
    <row r="5084" spans="1:6" hidden="1" x14ac:dyDescent="0.25">
      <c r="A5084" t="s">
        <v>662</v>
      </c>
      <c r="B5084" t="s">
        <v>39</v>
      </c>
      <c r="E5084" s="3">
        <f>HYPERLINK("https://sao.dolgi.msk.ru/account/1404134595/", 1404134595)</f>
        <v>1404134595</v>
      </c>
      <c r="F5084">
        <v>-464.55</v>
      </c>
    </row>
    <row r="5085" spans="1:6" hidden="1" x14ac:dyDescent="0.25">
      <c r="A5085" t="s">
        <v>662</v>
      </c>
      <c r="B5085" t="s">
        <v>40</v>
      </c>
      <c r="E5085" s="3">
        <f>HYPERLINK("https://sao.dolgi.msk.ru/account/1404134392/", 1404134392)</f>
        <v>1404134392</v>
      </c>
      <c r="F5085">
        <v>-1537.12</v>
      </c>
    </row>
    <row r="5086" spans="1:6" hidden="1" x14ac:dyDescent="0.25">
      <c r="A5086" t="s">
        <v>662</v>
      </c>
      <c r="B5086" t="s">
        <v>41</v>
      </c>
      <c r="E5086" s="3">
        <f>HYPERLINK("https://sao.dolgi.msk.ru/account/1404135475/", 1404135475)</f>
        <v>1404135475</v>
      </c>
      <c r="F5086">
        <v>0</v>
      </c>
    </row>
    <row r="5087" spans="1:6" hidden="1" x14ac:dyDescent="0.25">
      <c r="A5087" t="s">
        <v>662</v>
      </c>
      <c r="B5087" t="s">
        <v>42</v>
      </c>
      <c r="E5087" s="3">
        <f>HYPERLINK("https://sao.dolgi.msk.ru/account/1404135096/", 1404135096)</f>
        <v>1404135096</v>
      </c>
      <c r="F5087">
        <v>-4433.0600000000004</v>
      </c>
    </row>
    <row r="5088" spans="1:6" hidden="1" x14ac:dyDescent="0.25">
      <c r="A5088" t="s">
        <v>662</v>
      </c>
      <c r="B5088" t="s">
        <v>43</v>
      </c>
      <c r="E5088" s="3">
        <f>HYPERLINK("https://sao.dolgi.msk.ru/account/1404135301/", 1404135301)</f>
        <v>1404135301</v>
      </c>
      <c r="F5088">
        <v>-4678.25</v>
      </c>
    </row>
    <row r="5089" spans="1:6" hidden="1" x14ac:dyDescent="0.25">
      <c r="A5089" t="s">
        <v>662</v>
      </c>
      <c r="B5089" t="s">
        <v>44</v>
      </c>
      <c r="E5089" s="3">
        <f>HYPERLINK("https://sao.dolgi.msk.ru/account/1404134608/", 1404134608)</f>
        <v>1404134608</v>
      </c>
      <c r="F5089">
        <v>-3034.53</v>
      </c>
    </row>
    <row r="5090" spans="1:6" hidden="1" x14ac:dyDescent="0.25">
      <c r="A5090" t="s">
        <v>662</v>
      </c>
      <c r="B5090" t="s">
        <v>45</v>
      </c>
      <c r="E5090" s="3">
        <f>HYPERLINK("https://sao.dolgi.msk.ru/account/1404134026/", 1404134026)</f>
        <v>1404134026</v>
      </c>
      <c r="F5090">
        <v>-131.30000000000001</v>
      </c>
    </row>
    <row r="5091" spans="1:6" hidden="1" x14ac:dyDescent="0.25">
      <c r="A5091" t="s">
        <v>662</v>
      </c>
      <c r="B5091" t="s">
        <v>46</v>
      </c>
      <c r="E5091" s="3">
        <f>HYPERLINK("https://sao.dolgi.msk.ru/account/1404135109/", 1404135109)</f>
        <v>1404135109</v>
      </c>
      <c r="F5091">
        <v>-12369.04</v>
      </c>
    </row>
    <row r="5092" spans="1:6" hidden="1" x14ac:dyDescent="0.25">
      <c r="A5092" t="s">
        <v>662</v>
      </c>
      <c r="B5092" t="s">
        <v>47</v>
      </c>
      <c r="E5092" s="3">
        <f>HYPERLINK("https://sao.dolgi.msk.ru/account/1404134034/", 1404134034)</f>
        <v>1404134034</v>
      </c>
      <c r="F5092">
        <v>-495.38</v>
      </c>
    </row>
    <row r="5093" spans="1:6" hidden="1" x14ac:dyDescent="0.25">
      <c r="A5093" t="s">
        <v>662</v>
      </c>
      <c r="B5093" t="s">
        <v>48</v>
      </c>
      <c r="E5093" s="3">
        <f>HYPERLINK("https://sao.dolgi.msk.ru/account/1404134202/", 1404134202)</f>
        <v>1404134202</v>
      </c>
      <c r="F5093">
        <v>-141.55000000000001</v>
      </c>
    </row>
    <row r="5094" spans="1:6" hidden="1" x14ac:dyDescent="0.25">
      <c r="A5094" t="s">
        <v>662</v>
      </c>
      <c r="B5094" t="s">
        <v>49</v>
      </c>
      <c r="E5094" s="3">
        <f>HYPERLINK("https://sao.dolgi.msk.ru/account/1404134149/", 1404134149)</f>
        <v>1404134149</v>
      </c>
      <c r="F5094">
        <v>0</v>
      </c>
    </row>
    <row r="5095" spans="1:6" hidden="1" x14ac:dyDescent="0.25">
      <c r="A5095" t="s">
        <v>662</v>
      </c>
      <c r="B5095" t="s">
        <v>50</v>
      </c>
      <c r="E5095" s="3">
        <f>HYPERLINK("https://sao.dolgi.msk.ru/account/1404135328/", 1404135328)</f>
        <v>1404135328</v>
      </c>
      <c r="F5095">
        <v>0</v>
      </c>
    </row>
    <row r="5096" spans="1:6" hidden="1" x14ac:dyDescent="0.25">
      <c r="A5096" t="s">
        <v>662</v>
      </c>
      <c r="B5096" t="s">
        <v>51</v>
      </c>
      <c r="E5096" s="3">
        <f>HYPERLINK("https://sao.dolgi.msk.ru/account/1404135483/", 1404135483)</f>
        <v>1404135483</v>
      </c>
      <c r="F5096">
        <v>-3466.52</v>
      </c>
    </row>
    <row r="5097" spans="1:6" hidden="1" x14ac:dyDescent="0.25">
      <c r="A5097" t="s">
        <v>662</v>
      </c>
      <c r="B5097" t="s">
        <v>52</v>
      </c>
      <c r="E5097" s="3">
        <f>HYPERLINK("https://sao.dolgi.msk.ru/account/1404134229/", 1404134229)</f>
        <v>1404134229</v>
      </c>
      <c r="F5097">
        <v>-4357.07</v>
      </c>
    </row>
    <row r="5098" spans="1:6" hidden="1" x14ac:dyDescent="0.25">
      <c r="A5098" t="s">
        <v>662</v>
      </c>
      <c r="B5098" t="s">
        <v>53</v>
      </c>
      <c r="E5098" s="3">
        <f>HYPERLINK("https://sao.dolgi.msk.ru/account/1404134616/", 1404134616)</f>
        <v>1404134616</v>
      </c>
      <c r="F5098">
        <v>-5262.59</v>
      </c>
    </row>
    <row r="5099" spans="1:6" hidden="1" x14ac:dyDescent="0.25">
      <c r="A5099" t="s">
        <v>662</v>
      </c>
      <c r="B5099" t="s">
        <v>54</v>
      </c>
      <c r="E5099" s="3">
        <f>HYPERLINK("https://sao.dolgi.msk.ru/account/1404134237/", 1404134237)</f>
        <v>1404134237</v>
      </c>
      <c r="F5099">
        <v>-5648.73</v>
      </c>
    </row>
    <row r="5100" spans="1:6" hidden="1" x14ac:dyDescent="0.25">
      <c r="A5100" t="s">
        <v>662</v>
      </c>
      <c r="B5100" t="s">
        <v>55</v>
      </c>
      <c r="E5100" s="3">
        <f>HYPERLINK("https://sao.dolgi.msk.ru/account/1404135117/", 1404135117)</f>
        <v>1404135117</v>
      </c>
      <c r="F5100">
        <v>-1547.05</v>
      </c>
    </row>
    <row r="5101" spans="1:6" hidden="1" x14ac:dyDescent="0.25">
      <c r="A5101" t="s">
        <v>662</v>
      </c>
      <c r="B5101" t="s">
        <v>56</v>
      </c>
      <c r="E5101" s="3">
        <f>HYPERLINK("https://sao.dolgi.msk.ru/account/1404134245/", 1404134245)</f>
        <v>1404134245</v>
      </c>
      <c r="F5101">
        <v>-5934.54</v>
      </c>
    </row>
    <row r="5102" spans="1:6" x14ac:dyDescent="0.25">
      <c r="A5102" t="s">
        <v>662</v>
      </c>
      <c r="B5102" t="s">
        <v>57</v>
      </c>
      <c r="C5102" s="5" t="str">
        <f>" кв. "&amp;B5102</f>
        <v xml:space="preserve"> кв. 53</v>
      </c>
      <c r="D5102" s="5" t="str">
        <f>CONCATENATE(A5102,C5102)</f>
        <v>Валдайский пр., дом 21 кв. 53</v>
      </c>
      <c r="E5102" s="3">
        <f>HYPERLINK("https://sao.dolgi.msk.ru/account/1404134253/", 1404134253)</f>
        <v>1404134253</v>
      </c>
      <c r="F5102">
        <v>13247.79</v>
      </c>
    </row>
    <row r="5103" spans="1:6" hidden="1" x14ac:dyDescent="0.25">
      <c r="A5103" t="s">
        <v>662</v>
      </c>
      <c r="B5103" t="s">
        <v>58</v>
      </c>
      <c r="E5103" s="3">
        <f>HYPERLINK("https://sao.dolgi.msk.ru/account/1404134261/", 1404134261)</f>
        <v>1404134261</v>
      </c>
      <c r="F5103">
        <v>-3018.16</v>
      </c>
    </row>
    <row r="5104" spans="1:6" hidden="1" x14ac:dyDescent="0.25">
      <c r="A5104" t="s">
        <v>662</v>
      </c>
      <c r="B5104" t="s">
        <v>59</v>
      </c>
      <c r="E5104" s="3">
        <f>HYPERLINK("https://sao.dolgi.msk.ru/account/1404134288/", 1404134288)</f>
        <v>1404134288</v>
      </c>
      <c r="F5104">
        <v>-381.43</v>
      </c>
    </row>
    <row r="5105" spans="1:6" hidden="1" x14ac:dyDescent="0.25">
      <c r="A5105" t="s">
        <v>662</v>
      </c>
      <c r="B5105" t="s">
        <v>60</v>
      </c>
      <c r="E5105" s="3">
        <f>HYPERLINK("https://sao.dolgi.msk.ru/account/1404134413/", 1404134413)</f>
        <v>1404134413</v>
      </c>
      <c r="F5105">
        <v>-726.19</v>
      </c>
    </row>
    <row r="5106" spans="1:6" hidden="1" x14ac:dyDescent="0.25">
      <c r="A5106" t="s">
        <v>662</v>
      </c>
      <c r="B5106" t="s">
        <v>61</v>
      </c>
      <c r="E5106" s="3">
        <f>HYPERLINK("https://sao.dolgi.msk.ru/account/1404134624/", 1404134624)</f>
        <v>1404134624</v>
      </c>
      <c r="F5106">
        <v>-7766.17</v>
      </c>
    </row>
    <row r="5107" spans="1:6" hidden="1" x14ac:dyDescent="0.25">
      <c r="A5107" t="s">
        <v>662</v>
      </c>
      <c r="B5107" t="s">
        <v>62</v>
      </c>
      <c r="E5107" s="3">
        <f>HYPERLINK("https://sao.dolgi.msk.ru/account/1404134851/", 1404134851)</f>
        <v>1404134851</v>
      </c>
      <c r="F5107">
        <v>-4993.45</v>
      </c>
    </row>
    <row r="5108" spans="1:6" hidden="1" x14ac:dyDescent="0.25">
      <c r="A5108" t="s">
        <v>662</v>
      </c>
      <c r="B5108" t="s">
        <v>63</v>
      </c>
      <c r="E5108" s="3">
        <f>HYPERLINK("https://sao.dolgi.msk.ru/account/1404135491/", 1404135491)</f>
        <v>1404135491</v>
      </c>
      <c r="F5108">
        <v>-1875.21</v>
      </c>
    </row>
    <row r="5109" spans="1:6" hidden="1" x14ac:dyDescent="0.25">
      <c r="A5109" t="s">
        <v>662</v>
      </c>
      <c r="B5109" t="s">
        <v>64</v>
      </c>
      <c r="E5109" s="3">
        <f>HYPERLINK("https://sao.dolgi.msk.ru/account/1404134632/", 1404134632)</f>
        <v>1404134632</v>
      </c>
      <c r="F5109">
        <v>-6718.48</v>
      </c>
    </row>
    <row r="5110" spans="1:6" hidden="1" x14ac:dyDescent="0.25">
      <c r="A5110" t="s">
        <v>662</v>
      </c>
      <c r="B5110" t="s">
        <v>65</v>
      </c>
      <c r="E5110" s="3">
        <f>HYPERLINK("https://sao.dolgi.msk.ru/account/1404134472/", 1404134472)</f>
        <v>1404134472</v>
      </c>
      <c r="F5110">
        <v>-3656.18</v>
      </c>
    </row>
    <row r="5111" spans="1:6" hidden="1" x14ac:dyDescent="0.25">
      <c r="A5111" t="s">
        <v>662</v>
      </c>
      <c r="B5111" t="s">
        <v>65</v>
      </c>
      <c r="E5111" s="3">
        <f>HYPERLINK("https://sao.dolgi.msk.ru/account/1404135336/", 1404135336)</f>
        <v>1404135336</v>
      </c>
      <c r="F5111">
        <v>-1725.6</v>
      </c>
    </row>
    <row r="5112" spans="1:6" x14ac:dyDescent="0.25">
      <c r="A5112" t="s">
        <v>662</v>
      </c>
      <c r="B5112" t="s">
        <v>66</v>
      </c>
      <c r="C5112" s="5" t="str">
        <f>" кв. "&amp;B5112</f>
        <v xml:space="preserve"> кв. 62</v>
      </c>
      <c r="D5112" s="5" t="str">
        <f>CONCATENATE(A5112,C5112)</f>
        <v>Валдайский пр., дом 21 кв. 62</v>
      </c>
      <c r="E5112" s="3">
        <f>HYPERLINK("https://sao.dolgi.msk.ru/account/1404134421/", 1404134421)</f>
        <v>1404134421</v>
      </c>
      <c r="F5112">
        <v>3159.34</v>
      </c>
    </row>
    <row r="5113" spans="1:6" hidden="1" x14ac:dyDescent="0.25">
      <c r="A5113" t="s">
        <v>662</v>
      </c>
      <c r="B5113" t="s">
        <v>67</v>
      </c>
      <c r="E5113" s="3">
        <f>HYPERLINK("https://sao.dolgi.msk.ru/account/1404135344/", 1404135344)</f>
        <v>1404135344</v>
      </c>
      <c r="F5113">
        <v>-4204.88</v>
      </c>
    </row>
    <row r="5114" spans="1:6" hidden="1" x14ac:dyDescent="0.25">
      <c r="A5114" t="s">
        <v>662</v>
      </c>
      <c r="B5114" t="s">
        <v>68</v>
      </c>
      <c r="E5114" s="3">
        <f>HYPERLINK("https://sao.dolgi.msk.ru/account/1404134659/", 1404134659)</f>
        <v>1404134659</v>
      </c>
      <c r="F5114">
        <v>-5381.13</v>
      </c>
    </row>
    <row r="5115" spans="1:6" x14ac:dyDescent="0.25">
      <c r="A5115" t="s">
        <v>662</v>
      </c>
      <c r="B5115" t="s">
        <v>69</v>
      </c>
      <c r="C5115" s="5" t="str">
        <f>" кв. "&amp;B5115</f>
        <v xml:space="preserve"> кв. 65</v>
      </c>
      <c r="D5115" s="5" t="str">
        <f>CONCATENATE(A5115,C5115)</f>
        <v>Валдайский пр., дом 21 кв. 65</v>
      </c>
      <c r="E5115" s="3">
        <f>HYPERLINK("https://sao.dolgi.msk.ru/account/1404134878/", 1404134878)</f>
        <v>1404134878</v>
      </c>
      <c r="F5115">
        <v>3480.89</v>
      </c>
    </row>
    <row r="5116" spans="1:6" hidden="1" x14ac:dyDescent="0.25">
      <c r="A5116" t="s">
        <v>662</v>
      </c>
      <c r="B5116" t="s">
        <v>70</v>
      </c>
      <c r="E5116" s="3">
        <f>HYPERLINK("https://sao.dolgi.msk.ru/account/1404135125/", 1404135125)</f>
        <v>1404135125</v>
      </c>
      <c r="F5116">
        <v>-669.09</v>
      </c>
    </row>
    <row r="5117" spans="1:6" hidden="1" x14ac:dyDescent="0.25">
      <c r="A5117" t="s">
        <v>662</v>
      </c>
      <c r="B5117" t="s">
        <v>71</v>
      </c>
      <c r="E5117" s="3">
        <f>HYPERLINK("https://sao.dolgi.msk.ru/account/1404134296/", 1404134296)</f>
        <v>1404134296</v>
      </c>
      <c r="F5117">
        <v>-4648</v>
      </c>
    </row>
    <row r="5118" spans="1:6" x14ac:dyDescent="0.25">
      <c r="A5118" t="s">
        <v>662</v>
      </c>
      <c r="B5118" t="s">
        <v>72</v>
      </c>
      <c r="C5118" s="5" t="str">
        <f>" кв. "&amp;B5118</f>
        <v xml:space="preserve"> кв. 68</v>
      </c>
      <c r="D5118" s="5" t="str">
        <f>CONCATENATE(A5118,C5118)</f>
        <v>Валдайский пр., дом 21 кв. 68</v>
      </c>
      <c r="E5118" s="3">
        <f>HYPERLINK("https://sao.dolgi.msk.ru/account/1404134667/", 1404134667)</f>
        <v>1404134667</v>
      </c>
      <c r="F5118">
        <v>99097.02</v>
      </c>
    </row>
    <row r="5119" spans="1:6" hidden="1" x14ac:dyDescent="0.25">
      <c r="A5119" t="s">
        <v>662</v>
      </c>
      <c r="B5119" t="s">
        <v>73</v>
      </c>
      <c r="E5119" s="3">
        <f>HYPERLINK("https://sao.dolgi.msk.ru/account/1404134069/", 1404134069)</f>
        <v>1404134069</v>
      </c>
      <c r="F5119">
        <v>-8604.2199999999993</v>
      </c>
    </row>
    <row r="5120" spans="1:6" x14ac:dyDescent="0.25">
      <c r="A5120" t="s">
        <v>662</v>
      </c>
      <c r="B5120" t="s">
        <v>74</v>
      </c>
      <c r="C5120" s="5" t="str">
        <f>" кв. "&amp;B5120</f>
        <v xml:space="preserve"> кв. 70</v>
      </c>
      <c r="D5120" s="5" t="str">
        <f>CONCATENATE(A5120,C5120)</f>
        <v>Валдайский пр., дом 21 кв. 70</v>
      </c>
      <c r="E5120" s="3">
        <f>HYPERLINK("https://sao.dolgi.msk.ru/account/1404135352/", 1404135352)</f>
        <v>1404135352</v>
      </c>
      <c r="F5120">
        <v>3241.94</v>
      </c>
    </row>
    <row r="5121" spans="1:6" hidden="1" x14ac:dyDescent="0.25">
      <c r="A5121" t="s">
        <v>662</v>
      </c>
      <c r="B5121" t="s">
        <v>76</v>
      </c>
      <c r="E5121" s="3">
        <f>HYPERLINK("https://sao.dolgi.msk.ru/account/1404134309/", 1404134309)</f>
        <v>1404134309</v>
      </c>
      <c r="F5121">
        <v>-2465.39</v>
      </c>
    </row>
    <row r="5122" spans="1:6" hidden="1" x14ac:dyDescent="0.25">
      <c r="A5122" t="s">
        <v>662</v>
      </c>
      <c r="B5122" t="s">
        <v>77</v>
      </c>
      <c r="E5122" s="3">
        <f>HYPERLINK("https://sao.dolgi.msk.ru/account/1404134077/", 1404134077)</f>
        <v>1404134077</v>
      </c>
      <c r="F5122">
        <v>-0.1</v>
      </c>
    </row>
    <row r="5123" spans="1:6" x14ac:dyDescent="0.25">
      <c r="A5123" t="s">
        <v>662</v>
      </c>
      <c r="B5123" t="s">
        <v>78</v>
      </c>
      <c r="C5123" s="5" t="str">
        <f>" кв. "&amp;B5123</f>
        <v xml:space="preserve"> кв. 74</v>
      </c>
      <c r="D5123" s="5" t="str">
        <f>CONCATENATE(A5123,C5123)</f>
        <v>Валдайский пр., дом 21 кв. 74</v>
      </c>
      <c r="E5123" s="3">
        <f>HYPERLINK("https://sao.dolgi.msk.ru/account/1404134085/", 1404134085)</f>
        <v>1404134085</v>
      </c>
      <c r="F5123">
        <v>27495.360000000001</v>
      </c>
    </row>
    <row r="5124" spans="1:6" hidden="1" x14ac:dyDescent="0.25">
      <c r="A5124" t="s">
        <v>662</v>
      </c>
      <c r="B5124" t="s">
        <v>79</v>
      </c>
      <c r="E5124" s="3">
        <f>HYPERLINK("https://sao.dolgi.msk.ru/account/1404135379/", 1404135379)</f>
        <v>1404135379</v>
      </c>
      <c r="F5124">
        <v>-8250.5400000000009</v>
      </c>
    </row>
    <row r="5125" spans="1:6" hidden="1" x14ac:dyDescent="0.25">
      <c r="A5125" t="s">
        <v>662</v>
      </c>
      <c r="B5125" t="s">
        <v>80</v>
      </c>
      <c r="E5125" s="3">
        <f>HYPERLINK("https://sao.dolgi.msk.ru/account/1404134675/", 1404134675)</f>
        <v>1404134675</v>
      </c>
      <c r="F5125">
        <v>-4181.9399999999996</v>
      </c>
    </row>
    <row r="5126" spans="1:6" hidden="1" x14ac:dyDescent="0.25">
      <c r="A5126" t="s">
        <v>662</v>
      </c>
      <c r="B5126" t="s">
        <v>81</v>
      </c>
      <c r="E5126" s="3">
        <f>HYPERLINK("https://sao.dolgi.msk.ru/account/1404134894/", 1404134894)</f>
        <v>1404134894</v>
      </c>
      <c r="F5126">
        <v>0</v>
      </c>
    </row>
    <row r="5127" spans="1:6" x14ac:dyDescent="0.25">
      <c r="A5127" t="s">
        <v>662</v>
      </c>
      <c r="B5127" t="s">
        <v>82</v>
      </c>
      <c r="C5127" s="5" t="str">
        <f>" кв. "&amp;B5127</f>
        <v xml:space="preserve"> кв. 78</v>
      </c>
      <c r="D5127" s="5" t="str">
        <f>CONCATENATE(A5127,C5127)</f>
        <v>Валдайский пр., дом 21 кв. 78</v>
      </c>
      <c r="E5127" s="3">
        <f>HYPERLINK("https://sao.dolgi.msk.ru/account/1404135133/", 1404135133)</f>
        <v>1404135133</v>
      </c>
      <c r="F5127">
        <v>4671.22</v>
      </c>
    </row>
    <row r="5128" spans="1:6" hidden="1" x14ac:dyDescent="0.25">
      <c r="A5128" t="s">
        <v>662</v>
      </c>
      <c r="B5128" t="s">
        <v>83</v>
      </c>
      <c r="E5128" s="3">
        <f>HYPERLINK("https://sao.dolgi.msk.ru/account/1404134448/", 1404134448)</f>
        <v>1404134448</v>
      </c>
      <c r="F5128">
        <v>-5735.74</v>
      </c>
    </row>
    <row r="5129" spans="1:6" hidden="1" x14ac:dyDescent="0.25">
      <c r="A5129" t="s">
        <v>662</v>
      </c>
      <c r="B5129" t="s">
        <v>84</v>
      </c>
      <c r="E5129" s="3">
        <f>HYPERLINK("https://sao.dolgi.msk.ru/account/1404135504/", 1404135504)</f>
        <v>1404135504</v>
      </c>
      <c r="F5129">
        <v>0</v>
      </c>
    </row>
    <row r="5130" spans="1:6" hidden="1" x14ac:dyDescent="0.25">
      <c r="A5130" t="s">
        <v>662</v>
      </c>
      <c r="B5130" t="s">
        <v>85</v>
      </c>
      <c r="E5130" s="3">
        <f>HYPERLINK("https://sao.dolgi.msk.ru/account/1404134325/", 1404134325)</f>
        <v>1404134325</v>
      </c>
      <c r="F5130">
        <v>-5732.63</v>
      </c>
    </row>
    <row r="5131" spans="1:6" hidden="1" x14ac:dyDescent="0.25">
      <c r="A5131" t="s">
        <v>662</v>
      </c>
      <c r="B5131" t="s">
        <v>86</v>
      </c>
      <c r="E5131" s="3">
        <f>HYPERLINK("https://sao.dolgi.msk.ru/account/1404134907/", 1404134907)</f>
        <v>1404134907</v>
      </c>
      <c r="F5131">
        <v>0</v>
      </c>
    </row>
    <row r="5132" spans="1:6" hidden="1" x14ac:dyDescent="0.25">
      <c r="A5132" t="s">
        <v>662</v>
      </c>
      <c r="B5132" t="s">
        <v>87</v>
      </c>
      <c r="E5132" s="3">
        <f>HYPERLINK("https://sao.dolgi.msk.ru/account/1404134915/", 1404134915)</f>
        <v>1404134915</v>
      </c>
      <c r="F5132">
        <v>0</v>
      </c>
    </row>
    <row r="5133" spans="1:6" hidden="1" x14ac:dyDescent="0.25">
      <c r="A5133" t="s">
        <v>662</v>
      </c>
      <c r="B5133" t="s">
        <v>88</v>
      </c>
      <c r="E5133" s="3">
        <f>HYPERLINK("https://sao.dolgi.msk.ru/account/1404135387/", 1404135387)</f>
        <v>1404135387</v>
      </c>
      <c r="F5133">
        <v>-4912.72</v>
      </c>
    </row>
    <row r="5134" spans="1:6" hidden="1" x14ac:dyDescent="0.25">
      <c r="A5134" t="s">
        <v>662</v>
      </c>
      <c r="B5134" t="s">
        <v>89</v>
      </c>
      <c r="E5134" s="3">
        <f>HYPERLINK("https://sao.dolgi.msk.ru/account/1404135395/", 1404135395)</f>
        <v>1404135395</v>
      </c>
      <c r="F5134">
        <v>0</v>
      </c>
    </row>
    <row r="5135" spans="1:6" hidden="1" x14ac:dyDescent="0.25">
      <c r="A5135" t="s">
        <v>662</v>
      </c>
      <c r="B5135" t="s">
        <v>90</v>
      </c>
      <c r="E5135" s="3">
        <f>HYPERLINK("https://sao.dolgi.msk.ru/account/1404134923/", 1404134923)</f>
        <v>1404134923</v>
      </c>
      <c r="F5135">
        <v>-2697.38</v>
      </c>
    </row>
    <row r="5136" spans="1:6" hidden="1" x14ac:dyDescent="0.25">
      <c r="A5136" t="s">
        <v>662</v>
      </c>
      <c r="B5136" t="s">
        <v>91</v>
      </c>
      <c r="E5136" s="3">
        <f>HYPERLINK("https://sao.dolgi.msk.ru/account/1404134456/", 1404134456)</f>
        <v>1404134456</v>
      </c>
      <c r="F5136">
        <v>-5421.1</v>
      </c>
    </row>
    <row r="5137" spans="1:6" x14ac:dyDescent="0.25">
      <c r="A5137" t="s">
        <v>662</v>
      </c>
      <c r="B5137" t="s">
        <v>92</v>
      </c>
      <c r="C5137" s="5" t="str">
        <f>" кв. "&amp;B5137</f>
        <v xml:space="preserve"> кв. 88</v>
      </c>
      <c r="D5137" s="5" t="str">
        <f>CONCATENATE(A5137,C5137)</f>
        <v>Валдайский пр., дом 21 кв. 88</v>
      </c>
      <c r="E5137" s="3">
        <f>HYPERLINK("https://sao.dolgi.msk.ru/account/1404134931/", 1404134931)</f>
        <v>1404134931</v>
      </c>
      <c r="F5137">
        <v>312468.01</v>
      </c>
    </row>
    <row r="5138" spans="1:6" hidden="1" x14ac:dyDescent="0.25">
      <c r="A5138" t="s">
        <v>662</v>
      </c>
      <c r="B5138" t="s">
        <v>93</v>
      </c>
      <c r="E5138" s="3">
        <f>HYPERLINK("https://sao.dolgi.msk.ru/account/1404134093/", 1404134093)</f>
        <v>1404134093</v>
      </c>
      <c r="F5138">
        <v>-5740.88</v>
      </c>
    </row>
    <row r="5139" spans="1:6" hidden="1" x14ac:dyDescent="0.25">
      <c r="A5139" t="s">
        <v>662</v>
      </c>
      <c r="B5139" t="s">
        <v>94</v>
      </c>
      <c r="E5139" s="3">
        <f>HYPERLINK("https://sao.dolgi.msk.ru/account/1404135408/", 1404135408)</f>
        <v>1404135408</v>
      </c>
      <c r="F5139">
        <v>-3429.05</v>
      </c>
    </row>
    <row r="5140" spans="1:6" hidden="1" x14ac:dyDescent="0.25">
      <c r="A5140" t="s">
        <v>662</v>
      </c>
      <c r="B5140" t="s">
        <v>95</v>
      </c>
      <c r="E5140" s="3">
        <f>HYPERLINK("https://sao.dolgi.msk.ru/account/1404135141/", 1404135141)</f>
        <v>1404135141</v>
      </c>
      <c r="F5140">
        <v>-8161.69</v>
      </c>
    </row>
    <row r="5141" spans="1:6" hidden="1" x14ac:dyDescent="0.25">
      <c r="A5141" t="s">
        <v>662</v>
      </c>
      <c r="B5141" t="s">
        <v>96</v>
      </c>
      <c r="E5141" s="3">
        <f>HYPERLINK("https://sao.dolgi.msk.ru/account/1404134683/", 1404134683)</f>
        <v>1404134683</v>
      </c>
      <c r="F5141">
        <v>-4552.7299999999996</v>
      </c>
    </row>
    <row r="5142" spans="1:6" x14ac:dyDescent="0.25">
      <c r="A5142" t="s">
        <v>662</v>
      </c>
      <c r="B5142" t="s">
        <v>97</v>
      </c>
      <c r="C5142" s="5" t="str">
        <f>" кв. "&amp;B5142</f>
        <v xml:space="preserve"> кв. 93</v>
      </c>
      <c r="D5142" s="5" t="str">
        <f>CONCATENATE(A5142,C5142)</f>
        <v>Валдайский пр., дом 21 кв. 93</v>
      </c>
      <c r="E5142" s="3">
        <f>HYPERLINK("https://sao.dolgi.msk.ru/account/1404134691/", 1404134691)</f>
        <v>1404134691</v>
      </c>
      <c r="F5142">
        <v>6762.25</v>
      </c>
    </row>
    <row r="5143" spans="1:6" hidden="1" x14ac:dyDescent="0.25">
      <c r="A5143" t="s">
        <v>662</v>
      </c>
      <c r="B5143" t="s">
        <v>98</v>
      </c>
      <c r="E5143" s="3">
        <f>HYPERLINK("https://sao.dolgi.msk.ru/account/1404134106/", 1404134106)</f>
        <v>1404134106</v>
      </c>
      <c r="F5143">
        <v>0</v>
      </c>
    </row>
    <row r="5144" spans="1:6" hidden="1" x14ac:dyDescent="0.25">
      <c r="A5144" t="s">
        <v>662</v>
      </c>
      <c r="B5144" t="s">
        <v>99</v>
      </c>
      <c r="E5144" s="3">
        <f>HYPERLINK("https://sao.dolgi.msk.ru/account/1404135512/", 1404135512)</f>
        <v>1404135512</v>
      </c>
      <c r="F5144">
        <v>-3949.47</v>
      </c>
    </row>
    <row r="5145" spans="1:6" hidden="1" x14ac:dyDescent="0.25">
      <c r="A5145" t="s">
        <v>662</v>
      </c>
      <c r="B5145" t="s">
        <v>100</v>
      </c>
      <c r="E5145" s="3">
        <f>HYPERLINK("https://sao.dolgi.msk.ru/account/1404134958/", 1404134958)</f>
        <v>1404134958</v>
      </c>
      <c r="F5145">
        <v>-4506.46</v>
      </c>
    </row>
    <row r="5146" spans="1:6" hidden="1" x14ac:dyDescent="0.25">
      <c r="A5146" t="s">
        <v>662</v>
      </c>
      <c r="B5146" t="s">
        <v>101</v>
      </c>
      <c r="E5146" s="3">
        <f>HYPERLINK("https://sao.dolgi.msk.ru/account/1404134464/", 1404134464)</f>
        <v>1404134464</v>
      </c>
      <c r="F5146">
        <v>-5936.87</v>
      </c>
    </row>
    <row r="5147" spans="1:6" hidden="1" x14ac:dyDescent="0.25">
      <c r="A5147" t="s">
        <v>662</v>
      </c>
      <c r="B5147" t="s">
        <v>102</v>
      </c>
      <c r="E5147" s="3">
        <f>HYPERLINK("https://sao.dolgi.msk.ru/account/1404134114/", 1404134114)</f>
        <v>1404134114</v>
      </c>
      <c r="F5147">
        <v>-4060.36</v>
      </c>
    </row>
    <row r="5148" spans="1:6" hidden="1" x14ac:dyDescent="0.25">
      <c r="A5148" t="s">
        <v>662</v>
      </c>
      <c r="B5148" t="s">
        <v>103</v>
      </c>
      <c r="E5148" s="3">
        <f>HYPERLINK("https://sao.dolgi.msk.ru/account/1404134122/", 1404134122)</f>
        <v>1404134122</v>
      </c>
      <c r="F5148">
        <v>0</v>
      </c>
    </row>
    <row r="5149" spans="1:6" hidden="1" x14ac:dyDescent="0.25">
      <c r="A5149" t="s">
        <v>662</v>
      </c>
      <c r="B5149" t="s">
        <v>104</v>
      </c>
      <c r="E5149" s="3">
        <f>HYPERLINK("https://sao.dolgi.msk.ru/account/1404134341/", 1404134341)</f>
        <v>1404134341</v>
      </c>
      <c r="F5149">
        <v>-5446.37</v>
      </c>
    </row>
    <row r="5150" spans="1:6" hidden="1" x14ac:dyDescent="0.25">
      <c r="A5150" t="s">
        <v>662</v>
      </c>
      <c r="B5150" t="s">
        <v>105</v>
      </c>
      <c r="E5150" s="3">
        <f>HYPERLINK("https://sao.dolgi.msk.ru/account/1404134499/", 1404134499)</f>
        <v>1404134499</v>
      </c>
      <c r="F5150">
        <v>-6219.26</v>
      </c>
    </row>
    <row r="5151" spans="1:6" hidden="1" x14ac:dyDescent="0.25">
      <c r="A5151" t="s">
        <v>662</v>
      </c>
      <c r="B5151" t="s">
        <v>106</v>
      </c>
      <c r="E5151" s="3">
        <f>HYPERLINK("https://sao.dolgi.msk.ru/account/1404134501/", 1404134501)</f>
        <v>1404134501</v>
      </c>
      <c r="F5151">
        <v>-3960.61</v>
      </c>
    </row>
    <row r="5152" spans="1:6" hidden="1" x14ac:dyDescent="0.25">
      <c r="A5152" t="s">
        <v>662</v>
      </c>
      <c r="B5152" t="s">
        <v>107</v>
      </c>
      <c r="E5152" s="3">
        <f>HYPERLINK("https://sao.dolgi.msk.ru/account/1404133883/", 1404133883)</f>
        <v>1404133883</v>
      </c>
      <c r="F5152">
        <v>-4180.4399999999996</v>
      </c>
    </row>
    <row r="5153" spans="1:6" hidden="1" x14ac:dyDescent="0.25">
      <c r="A5153" t="s">
        <v>662</v>
      </c>
      <c r="B5153" t="s">
        <v>108</v>
      </c>
      <c r="E5153" s="3">
        <f>HYPERLINK("https://sao.dolgi.msk.ru/account/1404133891/", 1404133891)</f>
        <v>1404133891</v>
      </c>
      <c r="F5153">
        <v>-5984.79</v>
      </c>
    </row>
    <row r="5154" spans="1:6" hidden="1" x14ac:dyDescent="0.25">
      <c r="A5154" t="s">
        <v>662</v>
      </c>
      <c r="B5154" t="s">
        <v>109</v>
      </c>
      <c r="E5154" s="3">
        <f>HYPERLINK("https://sao.dolgi.msk.ru/account/1404134966/", 1404134966)</f>
        <v>1404134966</v>
      </c>
      <c r="F5154">
        <v>-4325.17</v>
      </c>
    </row>
    <row r="5155" spans="1:6" hidden="1" x14ac:dyDescent="0.25">
      <c r="A5155" t="s">
        <v>662</v>
      </c>
      <c r="B5155" t="s">
        <v>110</v>
      </c>
      <c r="E5155" s="3">
        <f>HYPERLINK("https://sao.dolgi.msk.ru/account/1404134974/", 1404134974)</f>
        <v>1404134974</v>
      </c>
      <c r="F5155">
        <v>-3452.47</v>
      </c>
    </row>
    <row r="5156" spans="1:6" hidden="1" x14ac:dyDescent="0.25">
      <c r="A5156" t="s">
        <v>662</v>
      </c>
      <c r="B5156" t="s">
        <v>111</v>
      </c>
      <c r="E5156" s="3">
        <f>HYPERLINK("https://sao.dolgi.msk.ru/account/1404134528/", 1404134528)</f>
        <v>1404134528</v>
      </c>
      <c r="F5156">
        <v>-6312.65</v>
      </c>
    </row>
    <row r="5157" spans="1:6" hidden="1" x14ac:dyDescent="0.25">
      <c r="A5157" t="s">
        <v>662</v>
      </c>
      <c r="B5157" t="s">
        <v>112</v>
      </c>
      <c r="E5157" s="3">
        <f>HYPERLINK("https://sao.dolgi.msk.ru/account/1404135176/", 1404135176)</f>
        <v>1404135176</v>
      </c>
      <c r="F5157">
        <v>-5300.79</v>
      </c>
    </row>
    <row r="5158" spans="1:6" hidden="1" x14ac:dyDescent="0.25">
      <c r="A5158" t="s">
        <v>662</v>
      </c>
      <c r="B5158" t="s">
        <v>113</v>
      </c>
      <c r="E5158" s="3">
        <f>HYPERLINK("https://sao.dolgi.msk.ru/account/1404135184/", 1404135184)</f>
        <v>1404135184</v>
      </c>
      <c r="F5158">
        <v>0</v>
      </c>
    </row>
    <row r="5159" spans="1:6" hidden="1" x14ac:dyDescent="0.25">
      <c r="A5159" t="s">
        <v>662</v>
      </c>
      <c r="B5159" t="s">
        <v>114</v>
      </c>
      <c r="E5159" s="3">
        <f>HYPERLINK("https://sao.dolgi.msk.ru/account/1404133904/", 1404133904)</f>
        <v>1404133904</v>
      </c>
      <c r="F5159">
        <v>-3169.34</v>
      </c>
    </row>
    <row r="5160" spans="1:6" hidden="1" x14ac:dyDescent="0.25">
      <c r="A5160" t="s">
        <v>662</v>
      </c>
      <c r="B5160" t="s">
        <v>115</v>
      </c>
      <c r="E5160" s="3">
        <f>HYPERLINK("https://sao.dolgi.msk.ru/account/1404134368/", 1404134368)</f>
        <v>1404134368</v>
      </c>
      <c r="F5160">
        <v>-5945.64</v>
      </c>
    </row>
    <row r="5161" spans="1:6" hidden="1" x14ac:dyDescent="0.25">
      <c r="A5161" t="s">
        <v>662</v>
      </c>
      <c r="B5161" t="s">
        <v>116</v>
      </c>
      <c r="E5161" s="3">
        <f>HYPERLINK("https://sao.dolgi.msk.ru/account/1404135416/", 1404135416)</f>
        <v>1404135416</v>
      </c>
      <c r="F5161">
        <v>0</v>
      </c>
    </row>
    <row r="5162" spans="1:6" hidden="1" x14ac:dyDescent="0.25">
      <c r="A5162" t="s">
        <v>662</v>
      </c>
      <c r="B5162" t="s">
        <v>117</v>
      </c>
      <c r="E5162" s="3">
        <f>HYPERLINK("https://sao.dolgi.msk.ru/account/1404135424/", 1404135424)</f>
        <v>1404135424</v>
      </c>
      <c r="F5162">
        <v>-4948.26</v>
      </c>
    </row>
    <row r="5163" spans="1:6" hidden="1" x14ac:dyDescent="0.25">
      <c r="A5163" t="s">
        <v>662</v>
      </c>
      <c r="B5163" t="s">
        <v>118</v>
      </c>
      <c r="E5163" s="3">
        <f>HYPERLINK("https://sao.dolgi.msk.ru/account/1404134982/", 1404134982)</f>
        <v>1404134982</v>
      </c>
      <c r="F5163">
        <v>-2787.99</v>
      </c>
    </row>
    <row r="5164" spans="1:6" hidden="1" x14ac:dyDescent="0.25">
      <c r="A5164" t="s">
        <v>662</v>
      </c>
      <c r="B5164" t="s">
        <v>119</v>
      </c>
      <c r="E5164" s="3">
        <f>HYPERLINK("https://sao.dolgi.msk.ru/account/1404135002/", 1404135002)</f>
        <v>1404135002</v>
      </c>
      <c r="F5164">
        <v>-5089.5200000000004</v>
      </c>
    </row>
    <row r="5165" spans="1:6" hidden="1" x14ac:dyDescent="0.25">
      <c r="A5165" t="s">
        <v>662</v>
      </c>
      <c r="B5165" t="s">
        <v>120</v>
      </c>
      <c r="E5165" s="3">
        <f>HYPERLINK("https://sao.dolgi.msk.ru/account/1404134157/", 1404134157)</f>
        <v>1404134157</v>
      </c>
      <c r="F5165">
        <v>-4599.53</v>
      </c>
    </row>
    <row r="5166" spans="1:6" x14ac:dyDescent="0.25">
      <c r="A5166" t="s">
        <v>662</v>
      </c>
      <c r="B5166" t="s">
        <v>121</v>
      </c>
      <c r="C5166" s="5" t="str">
        <f>" кв. "&amp;B5166</f>
        <v xml:space="preserve"> кв. 117</v>
      </c>
      <c r="D5166" s="5" t="str">
        <f>CONCATENATE(A5166,C5166)</f>
        <v>Валдайский пр., дом 21 кв. 117</v>
      </c>
      <c r="E5166" s="3">
        <f>HYPERLINK("https://sao.dolgi.msk.ru/account/1404135192/", 1404135192)</f>
        <v>1404135192</v>
      </c>
      <c r="F5166">
        <v>177185.04</v>
      </c>
    </row>
    <row r="5167" spans="1:6" hidden="1" x14ac:dyDescent="0.25">
      <c r="A5167" t="s">
        <v>662</v>
      </c>
      <c r="B5167" t="s">
        <v>122</v>
      </c>
      <c r="E5167" s="3">
        <f>HYPERLINK("https://sao.dolgi.msk.ru/account/1404135029/", 1404135029)</f>
        <v>1404135029</v>
      </c>
      <c r="F5167">
        <v>0</v>
      </c>
    </row>
    <row r="5168" spans="1:6" hidden="1" x14ac:dyDescent="0.25">
      <c r="A5168" t="s">
        <v>662</v>
      </c>
      <c r="B5168" t="s">
        <v>123</v>
      </c>
      <c r="E5168" s="3">
        <f>HYPERLINK("https://sao.dolgi.msk.ru/account/1404134712/", 1404134712)</f>
        <v>1404134712</v>
      </c>
      <c r="F5168">
        <v>-4547.45</v>
      </c>
    </row>
    <row r="5169" spans="1:6" hidden="1" x14ac:dyDescent="0.25">
      <c r="A5169" t="s">
        <v>662</v>
      </c>
      <c r="B5169" t="s">
        <v>124</v>
      </c>
      <c r="E5169" s="3">
        <f>HYPERLINK("https://sao.dolgi.msk.ru/account/1404133939/", 1404133939)</f>
        <v>1404133939</v>
      </c>
      <c r="F5169">
        <v>-6969.33</v>
      </c>
    </row>
    <row r="5170" spans="1:6" hidden="1" x14ac:dyDescent="0.25">
      <c r="A5170" t="s">
        <v>662</v>
      </c>
      <c r="B5170" t="s">
        <v>125</v>
      </c>
      <c r="E5170" s="3">
        <f>HYPERLINK("https://sao.dolgi.msk.ru/account/1404133947/", 1404133947)</f>
        <v>1404133947</v>
      </c>
      <c r="F5170">
        <v>0</v>
      </c>
    </row>
    <row r="5171" spans="1:6" hidden="1" x14ac:dyDescent="0.25">
      <c r="A5171" t="s">
        <v>662</v>
      </c>
      <c r="B5171" t="s">
        <v>126</v>
      </c>
      <c r="E5171" s="3">
        <f>HYPERLINK("https://sao.dolgi.msk.ru/account/1404134165/", 1404134165)</f>
        <v>1404134165</v>
      </c>
      <c r="F5171">
        <v>0</v>
      </c>
    </row>
    <row r="5172" spans="1:6" hidden="1" x14ac:dyDescent="0.25">
      <c r="A5172" t="s">
        <v>662</v>
      </c>
      <c r="B5172" t="s">
        <v>127</v>
      </c>
      <c r="E5172" s="3">
        <f>HYPERLINK("https://sao.dolgi.msk.ru/account/1404135037/", 1404135037)</f>
        <v>1404135037</v>
      </c>
      <c r="F5172">
        <v>-3042.67</v>
      </c>
    </row>
    <row r="5173" spans="1:6" hidden="1" x14ac:dyDescent="0.25">
      <c r="A5173" t="s">
        <v>662</v>
      </c>
      <c r="B5173" t="s">
        <v>128</v>
      </c>
      <c r="E5173" s="3">
        <f>HYPERLINK("https://sao.dolgi.msk.ru/account/1404134544/", 1404134544)</f>
        <v>1404134544</v>
      </c>
      <c r="F5173">
        <v>-4468.8500000000004</v>
      </c>
    </row>
    <row r="5174" spans="1:6" hidden="1" x14ac:dyDescent="0.25">
      <c r="A5174" t="s">
        <v>662</v>
      </c>
      <c r="B5174" t="s">
        <v>129</v>
      </c>
      <c r="E5174" s="3">
        <f>HYPERLINK("https://sao.dolgi.msk.ru/account/1404135045/", 1404135045)</f>
        <v>1404135045</v>
      </c>
      <c r="F5174">
        <v>-4859.62</v>
      </c>
    </row>
    <row r="5175" spans="1:6" hidden="1" x14ac:dyDescent="0.25">
      <c r="A5175" t="s">
        <v>662</v>
      </c>
      <c r="B5175" t="s">
        <v>130</v>
      </c>
      <c r="E5175" s="3">
        <f>HYPERLINK("https://sao.dolgi.msk.ru/account/1404135205/", 1404135205)</f>
        <v>1404135205</v>
      </c>
      <c r="F5175">
        <v>-3557.42</v>
      </c>
    </row>
    <row r="5176" spans="1:6" hidden="1" x14ac:dyDescent="0.25">
      <c r="A5176" t="s">
        <v>662</v>
      </c>
      <c r="B5176" t="s">
        <v>131</v>
      </c>
      <c r="E5176" s="3">
        <f>HYPERLINK("https://sao.dolgi.msk.ru/account/1404133955/", 1404133955)</f>
        <v>1404133955</v>
      </c>
      <c r="F5176">
        <v>-20093.91</v>
      </c>
    </row>
    <row r="5177" spans="1:6" hidden="1" x14ac:dyDescent="0.25">
      <c r="A5177" t="s">
        <v>662</v>
      </c>
      <c r="B5177" t="s">
        <v>132</v>
      </c>
      <c r="E5177" s="3">
        <f>HYPERLINK("https://sao.dolgi.msk.ru/account/1404133963/", 1404133963)</f>
        <v>1404133963</v>
      </c>
      <c r="F5177">
        <v>-4849.91</v>
      </c>
    </row>
    <row r="5178" spans="1:6" hidden="1" x14ac:dyDescent="0.25">
      <c r="A5178" t="s">
        <v>662</v>
      </c>
      <c r="B5178" t="s">
        <v>133</v>
      </c>
      <c r="E5178" s="3">
        <f>HYPERLINK("https://sao.dolgi.msk.ru/account/1404134173/", 1404134173)</f>
        <v>1404134173</v>
      </c>
      <c r="F5178">
        <v>-6142.42</v>
      </c>
    </row>
    <row r="5179" spans="1:6" hidden="1" x14ac:dyDescent="0.25">
      <c r="A5179" t="s">
        <v>662</v>
      </c>
      <c r="B5179" t="s">
        <v>134</v>
      </c>
      <c r="E5179" s="3">
        <f>HYPERLINK("https://sao.dolgi.msk.ru/account/1404134747/", 1404134747)</f>
        <v>1404134747</v>
      </c>
      <c r="F5179">
        <v>-2375.86</v>
      </c>
    </row>
    <row r="5180" spans="1:6" hidden="1" x14ac:dyDescent="0.25">
      <c r="A5180" t="s">
        <v>662</v>
      </c>
      <c r="B5180" t="s">
        <v>135</v>
      </c>
      <c r="E5180" s="3">
        <f>HYPERLINK("https://sao.dolgi.msk.ru/account/1404135213/", 1404135213)</f>
        <v>1404135213</v>
      </c>
      <c r="F5180">
        <v>-2761.46</v>
      </c>
    </row>
    <row r="5181" spans="1:6" hidden="1" x14ac:dyDescent="0.25">
      <c r="A5181" t="s">
        <v>662</v>
      </c>
      <c r="B5181" t="s">
        <v>136</v>
      </c>
      <c r="E5181" s="3">
        <f>HYPERLINK("https://sao.dolgi.msk.ru/account/1404134755/", 1404134755)</f>
        <v>1404134755</v>
      </c>
      <c r="F5181">
        <v>-1456.47</v>
      </c>
    </row>
    <row r="5182" spans="1:6" hidden="1" x14ac:dyDescent="0.25">
      <c r="A5182" t="s">
        <v>662</v>
      </c>
      <c r="B5182" t="s">
        <v>137</v>
      </c>
      <c r="E5182" s="3">
        <f>HYPERLINK("https://sao.dolgi.msk.ru/account/1404135053/", 1404135053)</f>
        <v>1404135053</v>
      </c>
      <c r="F5182">
        <v>-3137.5</v>
      </c>
    </row>
    <row r="5183" spans="1:6" hidden="1" x14ac:dyDescent="0.25">
      <c r="A5183" t="s">
        <v>662</v>
      </c>
      <c r="B5183" t="s">
        <v>138</v>
      </c>
      <c r="E5183" s="3">
        <f>HYPERLINK("https://sao.dolgi.msk.ru/account/1404134552/", 1404134552)</f>
        <v>1404134552</v>
      </c>
      <c r="F5183">
        <v>-11151.01</v>
      </c>
    </row>
    <row r="5184" spans="1:6" hidden="1" x14ac:dyDescent="0.25">
      <c r="A5184" t="s">
        <v>662</v>
      </c>
      <c r="B5184" t="s">
        <v>139</v>
      </c>
      <c r="E5184" s="3">
        <f>HYPERLINK("https://sao.dolgi.msk.ru/account/1404135221/", 1404135221)</f>
        <v>1404135221</v>
      </c>
      <c r="F5184">
        <v>-3350.22</v>
      </c>
    </row>
    <row r="5185" spans="1:6" hidden="1" x14ac:dyDescent="0.25">
      <c r="A5185" t="s">
        <v>662</v>
      </c>
      <c r="B5185" t="s">
        <v>140</v>
      </c>
      <c r="E5185" s="3">
        <f>HYPERLINK("https://sao.dolgi.msk.ru/account/1404134376/", 1404134376)</f>
        <v>1404134376</v>
      </c>
      <c r="F5185">
        <v>-577.29</v>
      </c>
    </row>
    <row r="5186" spans="1:6" hidden="1" x14ac:dyDescent="0.25">
      <c r="A5186" t="s">
        <v>663</v>
      </c>
      <c r="B5186" t="s">
        <v>5</v>
      </c>
      <c r="E5186" s="3">
        <f>HYPERLINK("https://sao.dolgi.msk.ru/account/1404257763/", 1404257763)</f>
        <v>1404257763</v>
      </c>
      <c r="F5186">
        <v>-714.19</v>
      </c>
    </row>
    <row r="5187" spans="1:6" x14ac:dyDescent="0.25">
      <c r="A5187" t="s">
        <v>663</v>
      </c>
      <c r="B5187" t="s">
        <v>6</v>
      </c>
      <c r="C5187" s="5" t="str">
        <f>" кв. "&amp;B5187</f>
        <v xml:space="preserve"> кв. 2</v>
      </c>
      <c r="D5187" s="5" t="str">
        <f>CONCATENATE(A5187,C5187)</f>
        <v>Валдайский пр., дом 22 кв. 2</v>
      </c>
      <c r="E5187" s="3">
        <f>HYPERLINK("https://sao.dolgi.msk.ru/account/1404257034/", 1404257034)</f>
        <v>1404257034</v>
      </c>
      <c r="F5187">
        <v>1733.1</v>
      </c>
    </row>
    <row r="5188" spans="1:6" hidden="1" x14ac:dyDescent="0.25">
      <c r="A5188" t="s">
        <v>663</v>
      </c>
      <c r="B5188" t="s">
        <v>7</v>
      </c>
      <c r="E5188" s="3">
        <f>HYPERLINK("https://sao.dolgi.msk.ru/account/1404257667/", 1404257667)</f>
        <v>1404257667</v>
      </c>
      <c r="F5188">
        <v>-1910.71</v>
      </c>
    </row>
    <row r="5189" spans="1:6" hidden="1" x14ac:dyDescent="0.25">
      <c r="A5189" t="s">
        <v>663</v>
      </c>
      <c r="B5189" t="s">
        <v>8</v>
      </c>
      <c r="E5189" s="3">
        <f>HYPERLINK("https://sao.dolgi.msk.ru/account/1404257325/", 1404257325)</f>
        <v>1404257325</v>
      </c>
      <c r="F5189">
        <v>-1828.53</v>
      </c>
    </row>
    <row r="5190" spans="1:6" hidden="1" x14ac:dyDescent="0.25">
      <c r="A5190" t="s">
        <v>663</v>
      </c>
      <c r="B5190" t="s">
        <v>9</v>
      </c>
      <c r="E5190" s="3">
        <f>HYPERLINK("https://sao.dolgi.msk.ru/account/1404257405/", 1404257405)</f>
        <v>1404257405</v>
      </c>
      <c r="F5190">
        <v>0</v>
      </c>
    </row>
    <row r="5191" spans="1:6" hidden="1" x14ac:dyDescent="0.25">
      <c r="A5191" t="s">
        <v>663</v>
      </c>
      <c r="B5191" t="s">
        <v>10</v>
      </c>
      <c r="E5191" s="3">
        <f>HYPERLINK("https://sao.dolgi.msk.ru/account/1404257229/", 1404257229)</f>
        <v>1404257229</v>
      </c>
      <c r="F5191">
        <v>0</v>
      </c>
    </row>
    <row r="5192" spans="1:6" hidden="1" x14ac:dyDescent="0.25">
      <c r="A5192" t="s">
        <v>663</v>
      </c>
      <c r="B5192" t="s">
        <v>11</v>
      </c>
      <c r="E5192" s="3">
        <f>HYPERLINK("https://sao.dolgi.msk.ru/account/1404257616/", 1404257616)</f>
        <v>1404257616</v>
      </c>
      <c r="F5192">
        <v>-1417.63</v>
      </c>
    </row>
    <row r="5193" spans="1:6" hidden="1" x14ac:dyDescent="0.25">
      <c r="A5193" t="s">
        <v>663</v>
      </c>
      <c r="B5193" t="s">
        <v>12</v>
      </c>
      <c r="E5193" s="3">
        <f>HYPERLINK("https://sao.dolgi.msk.ru/account/1404256939/", 1404256939)</f>
        <v>1404256939</v>
      </c>
      <c r="F5193">
        <v>0</v>
      </c>
    </row>
    <row r="5194" spans="1:6" hidden="1" x14ac:dyDescent="0.25">
      <c r="A5194" t="s">
        <v>663</v>
      </c>
      <c r="B5194" t="s">
        <v>13</v>
      </c>
      <c r="E5194" s="3">
        <f>HYPERLINK("https://sao.dolgi.msk.ru/account/1404257691/", 1404257691)</f>
        <v>1404257691</v>
      </c>
      <c r="F5194">
        <v>0</v>
      </c>
    </row>
    <row r="5195" spans="1:6" hidden="1" x14ac:dyDescent="0.25">
      <c r="A5195" t="s">
        <v>663</v>
      </c>
      <c r="B5195" t="s">
        <v>14</v>
      </c>
      <c r="E5195" s="3">
        <f>HYPERLINK("https://sao.dolgi.msk.ru/account/1404257261/", 1404257261)</f>
        <v>1404257261</v>
      </c>
      <c r="F5195">
        <v>-905.05</v>
      </c>
    </row>
    <row r="5196" spans="1:6" hidden="1" x14ac:dyDescent="0.25">
      <c r="A5196" t="s">
        <v>663</v>
      </c>
      <c r="B5196" t="s">
        <v>15</v>
      </c>
      <c r="E5196" s="3">
        <f>HYPERLINK("https://sao.dolgi.msk.ru/account/1404257181/", 1404257181)</f>
        <v>1404257181</v>
      </c>
      <c r="F5196">
        <v>0</v>
      </c>
    </row>
    <row r="5197" spans="1:6" hidden="1" x14ac:dyDescent="0.25">
      <c r="A5197" t="s">
        <v>663</v>
      </c>
      <c r="B5197" t="s">
        <v>16</v>
      </c>
      <c r="E5197" s="3">
        <f>HYPERLINK("https://sao.dolgi.msk.ru/account/1404257771/", 1404257771)</f>
        <v>1404257771</v>
      </c>
      <c r="F5197">
        <v>0</v>
      </c>
    </row>
    <row r="5198" spans="1:6" x14ac:dyDescent="0.25">
      <c r="A5198" t="s">
        <v>663</v>
      </c>
      <c r="B5198" t="s">
        <v>17</v>
      </c>
      <c r="C5198" s="5" t="str">
        <f t="shared" ref="C5198:C5199" si="244">" кв. "&amp;B5198</f>
        <v xml:space="preserve"> кв. 13</v>
      </c>
      <c r="D5198" s="5" t="str">
        <f>CONCATENATE(A5198,C5198)</f>
        <v>Валдайский пр., дом 22 кв. 13</v>
      </c>
      <c r="E5198" s="3">
        <f>HYPERLINK("https://sao.dolgi.msk.ru/account/1404257085/", 1404257085)</f>
        <v>1404257085</v>
      </c>
      <c r="F5198">
        <v>749.24</v>
      </c>
    </row>
    <row r="5199" spans="1:6" x14ac:dyDescent="0.25">
      <c r="A5199" t="s">
        <v>663</v>
      </c>
      <c r="B5199" t="s">
        <v>17</v>
      </c>
      <c r="C5199" s="5" t="str">
        <f t="shared" si="244"/>
        <v xml:space="preserve"> кв. 13</v>
      </c>
      <c r="D5199" s="5" t="str">
        <f>CONCATENATE(A5199,C5199)</f>
        <v>Валдайский пр., дом 22 кв. 13</v>
      </c>
      <c r="E5199" s="3">
        <f>HYPERLINK("https://sao.dolgi.msk.ru/account/1404257798/", 1404257798)</f>
        <v>1404257798</v>
      </c>
      <c r="F5199">
        <v>449.54</v>
      </c>
    </row>
    <row r="5200" spans="1:6" hidden="1" x14ac:dyDescent="0.25">
      <c r="A5200" t="s">
        <v>663</v>
      </c>
      <c r="B5200" t="s">
        <v>18</v>
      </c>
      <c r="E5200" s="3">
        <f>HYPERLINK("https://sao.dolgi.msk.ru/account/1404256955/", 1404256955)</f>
        <v>1404256955</v>
      </c>
      <c r="F5200">
        <v>-1608.48</v>
      </c>
    </row>
    <row r="5201" spans="1:6" hidden="1" x14ac:dyDescent="0.25">
      <c r="A5201" t="s">
        <v>663</v>
      </c>
      <c r="B5201" t="s">
        <v>19</v>
      </c>
      <c r="E5201" s="3">
        <f>HYPERLINK("https://sao.dolgi.msk.ru/account/1404257819/", 1404257819)</f>
        <v>1404257819</v>
      </c>
      <c r="F5201">
        <v>-1354.23</v>
      </c>
    </row>
    <row r="5202" spans="1:6" x14ac:dyDescent="0.25">
      <c r="A5202" t="s">
        <v>663</v>
      </c>
      <c r="B5202" t="s">
        <v>20</v>
      </c>
      <c r="C5202" s="5" t="str">
        <f>" кв. "&amp;B5202</f>
        <v xml:space="preserve"> кв. 16</v>
      </c>
      <c r="D5202" s="5" t="str">
        <f>CONCATENATE(A5202,C5202)</f>
        <v>Валдайский пр., дом 22 кв. 16</v>
      </c>
      <c r="E5202" s="3">
        <f>HYPERLINK("https://sao.dolgi.msk.ru/account/1404256963/", 1404256963)</f>
        <v>1404256963</v>
      </c>
      <c r="F5202">
        <v>1999.02</v>
      </c>
    </row>
    <row r="5203" spans="1:6" hidden="1" x14ac:dyDescent="0.25">
      <c r="A5203" t="s">
        <v>663</v>
      </c>
      <c r="B5203" t="s">
        <v>21</v>
      </c>
      <c r="E5203" s="3">
        <f>HYPERLINK("https://sao.dolgi.msk.ru/account/1404256971/", 1404256971)</f>
        <v>1404256971</v>
      </c>
      <c r="F5203">
        <v>-1695.49</v>
      </c>
    </row>
    <row r="5204" spans="1:6" x14ac:dyDescent="0.25">
      <c r="A5204" t="s">
        <v>663</v>
      </c>
      <c r="B5204" t="s">
        <v>22</v>
      </c>
      <c r="C5204" s="5" t="str">
        <f t="shared" ref="C5204:C5206" si="245">" кв. "&amp;B5204</f>
        <v xml:space="preserve"> кв. 18</v>
      </c>
      <c r="D5204" s="5" t="str">
        <f>CONCATENATE(A5204,C5204)</f>
        <v>Валдайский пр., дом 22 кв. 18</v>
      </c>
      <c r="E5204" s="3">
        <f>HYPERLINK("https://sao.dolgi.msk.ru/account/1404257675/", 1404257675)</f>
        <v>1404257675</v>
      </c>
      <c r="F5204">
        <v>1417.02</v>
      </c>
    </row>
    <row r="5205" spans="1:6" x14ac:dyDescent="0.25">
      <c r="A5205" t="s">
        <v>663</v>
      </c>
      <c r="B5205" t="s">
        <v>23</v>
      </c>
      <c r="C5205" s="5" t="str">
        <f t="shared" si="245"/>
        <v xml:space="preserve"> кв. 19</v>
      </c>
      <c r="D5205" s="5" t="str">
        <f>CONCATENATE(A5205,C5205)</f>
        <v>Валдайский пр., дом 22 кв. 19</v>
      </c>
      <c r="E5205" s="3">
        <f>HYPERLINK("https://sao.dolgi.msk.ru/account/1404257659/", 1404257659)</f>
        <v>1404257659</v>
      </c>
      <c r="F5205">
        <v>1208.27</v>
      </c>
    </row>
    <row r="5206" spans="1:6" x14ac:dyDescent="0.25">
      <c r="A5206" t="s">
        <v>663</v>
      </c>
      <c r="B5206" t="s">
        <v>24</v>
      </c>
      <c r="C5206" s="5" t="str">
        <f t="shared" si="245"/>
        <v xml:space="preserve"> кв. 20</v>
      </c>
      <c r="D5206" s="5" t="str">
        <f>CONCATENATE(A5206,C5206)</f>
        <v>Валдайский пр., дом 22 кв. 20</v>
      </c>
      <c r="E5206" s="3">
        <f>HYPERLINK("https://sao.dolgi.msk.ru/account/1404257341/", 1404257341)</f>
        <v>1404257341</v>
      </c>
      <c r="F5206">
        <v>1182.96</v>
      </c>
    </row>
    <row r="5207" spans="1:6" hidden="1" x14ac:dyDescent="0.25">
      <c r="A5207" t="s">
        <v>663</v>
      </c>
      <c r="B5207" t="s">
        <v>25</v>
      </c>
      <c r="E5207" s="3">
        <f>HYPERLINK("https://sao.dolgi.msk.ru/account/1404258061/", 1404258061)</f>
        <v>1404258061</v>
      </c>
      <c r="F5207">
        <v>-1622.35</v>
      </c>
    </row>
    <row r="5208" spans="1:6" hidden="1" x14ac:dyDescent="0.25">
      <c r="A5208" t="s">
        <v>663</v>
      </c>
      <c r="B5208" t="s">
        <v>26</v>
      </c>
      <c r="E5208" s="3">
        <f>HYPERLINK("https://sao.dolgi.msk.ru/account/1404257042/", 1404257042)</f>
        <v>1404257042</v>
      </c>
      <c r="F5208">
        <v>-558.27</v>
      </c>
    </row>
    <row r="5209" spans="1:6" hidden="1" x14ac:dyDescent="0.25">
      <c r="A5209" t="s">
        <v>663</v>
      </c>
      <c r="B5209" t="s">
        <v>27</v>
      </c>
      <c r="E5209" s="3">
        <f>HYPERLINK("https://sao.dolgi.msk.ru/account/1404257368/", 1404257368)</f>
        <v>1404257368</v>
      </c>
      <c r="F5209">
        <v>-1961.53</v>
      </c>
    </row>
    <row r="5210" spans="1:6" hidden="1" x14ac:dyDescent="0.25">
      <c r="A5210" t="s">
        <v>663</v>
      </c>
      <c r="B5210" t="s">
        <v>28</v>
      </c>
      <c r="E5210" s="3">
        <f>HYPERLINK("https://sao.dolgi.msk.ru/account/1404257069/", 1404257069)</f>
        <v>1404257069</v>
      </c>
      <c r="F5210">
        <v>-2158.5</v>
      </c>
    </row>
    <row r="5211" spans="1:6" hidden="1" x14ac:dyDescent="0.25">
      <c r="A5211" t="s">
        <v>663</v>
      </c>
      <c r="B5211" t="s">
        <v>29</v>
      </c>
      <c r="E5211" s="3">
        <f>HYPERLINK("https://sao.dolgi.msk.ru/account/1404258088/", 1404258088)</f>
        <v>1404258088</v>
      </c>
      <c r="F5211">
        <v>0</v>
      </c>
    </row>
    <row r="5212" spans="1:6" hidden="1" x14ac:dyDescent="0.25">
      <c r="A5212" t="s">
        <v>663</v>
      </c>
      <c r="B5212" t="s">
        <v>30</v>
      </c>
      <c r="E5212" s="3">
        <f>HYPERLINK("https://sao.dolgi.msk.ru/account/1404257827/", 1404257827)</f>
        <v>1404257827</v>
      </c>
      <c r="F5212">
        <v>-1756.38</v>
      </c>
    </row>
    <row r="5213" spans="1:6" hidden="1" x14ac:dyDescent="0.25">
      <c r="A5213" t="s">
        <v>663</v>
      </c>
      <c r="B5213" t="s">
        <v>31</v>
      </c>
      <c r="E5213" s="3">
        <f>HYPERLINK("https://sao.dolgi.msk.ru/account/1404257835/", 1404257835)</f>
        <v>1404257835</v>
      </c>
      <c r="F5213">
        <v>-1747.13</v>
      </c>
    </row>
    <row r="5214" spans="1:6" hidden="1" x14ac:dyDescent="0.25">
      <c r="A5214" t="s">
        <v>663</v>
      </c>
      <c r="B5214" t="s">
        <v>32</v>
      </c>
      <c r="E5214" s="3">
        <f>HYPERLINK("https://sao.dolgi.msk.ru/account/1404257077/", 1404257077)</f>
        <v>1404257077</v>
      </c>
      <c r="F5214">
        <v>0</v>
      </c>
    </row>
    <row r="5215" spans="1:6" hidden="1" x14ac:dyDescent="0.25">
      <c r="A5215" t="s">
        <v>663</v>
      </c>
      <c r="B5215" t="s">
        <v>33</v>
      </c>
      <c r="E5215" s="3">
        <f>HYPERLINK("https://sao.dolgi.msk.ru/account/1404257966/", 1404257966)</f>
        <v>1404257966</v>
      </c>
      <c r="F5215">
        <v>-1631.6</v>
      </c>
    </row>
    <row r="5216" spans="1:6" x14ac:dyDescent="0.25">
      <c r="A5216" t="s">
        <v>663</v>
      </c>
      <c r="B5216" t="s">
        <v>34</v>
      </c>
      <c r="C5216" s="5" t="str">
        <f t="shared" ref="C5216:C5218" si="246">" кв. "&amp;B5216</f>
        <v xml:space="preserve"> кв. 30</v>
      </c>
      <c r="D5216" s="5" t="str">
        <f>CONCATENATE(A5216,C5216)</f>
        <v>Валдайский пр., дом 22 кв. 30</v>
      </c>
      <c r="E5216" s="3">
        <f>HYPERLINK("https://sao.dolgi.msk.ru/account/1404257843/", 1404257843)</f>
        <v>1404257843</v>
      </c>
      <c r="F5216">
        <v>2008.51</v>
      </c>
    </row>
    <row r="5217" spans="1:6" x14ac:dyDescent="0.25">
      <c r="A5217" t="s">
        <v>663</v>
      </c>
      <c r="B5217" t="s">
        <v>35</v>
      </c>
      <c r="C5217" s="5" t="str">
        <f t="shared" si="246"/>
        <v xml:space="preserve"> кв. 31</v>
      </c>
      <c r="D5217" s="5" t="str">
        <f>CONCATENATE(A5217,C5217)</f>
        <v>Валдайский пр., дом 22 кв. 31</v>
      </c>
      <c r="E5217" s="3">
        <f>HYPERLINK("https://sao.dolgi.msk.ru/account/1404257464/", 1404257464)</f>
        <v>1404257464</v>
      </c>
      <c r="F5217">
        <v>1480.28</v>
      </c>
    </row>
    <row r="5218" spans="1:6" x14ac:dyDescent="0.25">
      <c r="A5218" t="s">
        <v>663</v>
      </c>
      <c r="B5218" t="s">
        <v>36</v>
      </c>
      <c r="C5218" s="5" t="str">
        <f t="shared" si="246"/>
        <v xml:space="preserve"> кв. 32</v>
      </c>
      <c r="D5218" s="5" t="str">
        <f>CONCATENATE(A5218,C5218)</f>
        <v>Валдайский пр., дом 22 кв. 32</v>
      </c>
      <c r="E5218" s="3">
        <f>HYPERLINK("https://sao.dolgi.msk.ru/account/1404257624/", 1404257624)</f>
        <v>1404257624</v>
      </c>
      <c r="F5218">
        <v>1417.02</v>
      </c>
    </row>
    <row r="5219" spans="1:6" hidden="1" x14ac:dyDescent="0.25">
      <c r="A5219" t="s">
        <v>663</v>
      </c>
      <c r="B5219" t="s">
        <v>37</v>
      </c>
      <c r="E5219" s="3">
        <f>HYPERLINK("https://sao.dolgi.msk.ru/account/1404256998/", 1404256998)</f>
        <v>1404256998</v>
      </c>
      <c r="F5219">
        <v>-993.74</v>
      </c>
    </row>
    <row r="5220" spans="1:6" hidden="1" x14ac:dyDescent="0.25">
      <c r="A5220" t="s">
        <v>663</v>
      </c>
      <c r="B5220" t="s">
        <v>38</v>
      </c>
      <c r="E5220" s="3">
        <f>HYPERLINK("https://sao.dolgi.msk.ru/account/1404257288/", 1404257288)</f>
        <v>1404257288</v>
      </c>
      <c r="F5220">
        <v>0</v>
      </c>
    </row>
    <row r="5221" spans="1:6" hidden="1" x14ac:dyDescent="0.25">
      <c r="A5221" t="s">
        <v>663</v>
      </c>
      <c r="B5221" t="s">
        <v>39</v>
      </c>
      <c r="E5221" s="3">
        <f>HYPERLINK("https://sao.dolgi.msk.ru/account/1404257296/", 1404257296)</f>
        <v>1404257296</v>
      </c>
      <c r="F5221">
        <v>-1622.35</v>
      </c>
    </row>
    <row r="5222" spans="1:6" x14ac:dyDescent="0.25">
      <c r="A5222" t="s">
        <v>663</v>
      </c>
      <c r="B5222" t="s">
        <v>40</v>
      </c>
      <c r="C5222" s="5" t="str">
        <f t="shared" ref="C5222:C5223" si="247">" кв. "&amp;B5222</f>
        <v xml:space="preserve"> кв. 36</v>
      </c>
      <c r="D5222" s="5" t="str">
        <f>CONCATENATE(A5222,C5222)</f>
        <v>Валдайский пр., дом 22 кв. 36</v>
      </c>
      <c r="E5222" s="3">
        <f>HYPERLINK("https://sao.dolgi.msk.ru/account/1404257018/", 1404257018)</f>
        <v>1404257018</v>
      </c>
      <c r="F5222">
        <v>1116.54</v>
      </c>
    </row>
    <row r="5223" spans="1:6" x14ac:dyDescent="0.25">
      <c r="A5223" t="s">
        <v>663</v>
      </c>
      <c r="B5223" t="s">
        <v>41</v>
      </c>
      <c r="C5223" s="5" t="str">
        <f t="shared" si="247"/>
        <v xml:space="preserve"> кв. 37</v>
      </c>
      <c r="D5223" s="5" t="str">
        <f>CONCATENATE(A5223,C5223)</f>
        <v>Валдайский пр., дом 22 кв. 37</v>
      </c>
      <c r="E5223" s="3">
        <f>HYPERLINK("https://sao.dolgi.msk.ru/account/1404257309/", 1404257309)</f>
        <v>1404257309</v>
      </c>
      <c r="F5223">
        <v>2011.67</v>
      </c>
    </row>
    <row r="5224" spans="1:6" hidden="1" x14ac:dyDescent="0.25">
      <c r="A5224" t="s">
        <v>663</v>
      </c>
      <c r="B5224" t="s">
        <v>42</v>
      </c>
      <c r="E5224" s="3">
        <f>HYPERLINK("https://sao.dolgi.msk.ru/account/1404257317/", 1404257317)</f>
        <v>1404257317</v>
      </c>
      <c r="F5224">
        <v>0</v>
      </c>
    </row>
    <row r="5225" spans="1:6" hidden="1" x14ac:dyDescent="0.25">
      <c r="A5225" t="s">
        <v>663</v>
      </c>
      <c r="B5225" t="s">
        <v>43</v>
      </c>
      <c r="E5225" s="3">
        <f>HYPERLINK("https://sao.dolgi.msk.ru/account/1404257632/", 1404257632)</f>
        <v>1404257632</v>
      </c>
      <c r="F5225">
        <v>-2075.31</v>
      </c>
    </row>
    <row r="5226" spans="1:6" x14ac:dyDescent="0.25">
      <c r="A5226" t="s">
        <v>663</v>
      </c>
      <c r="B5226" t="s">
        <v>44</v>
      </c>
      <c r="C5226" s="5" t="str">
        <f>" кв. "&amp;B5226</f>
        <v xml:space="preserve"> кв. 40</v>
      </c>
      <c r="D5226" s="5" t="str">
        <f>CONCATENATE(A5226,C5226)</f>
        <v>Валдайский пр., дом 22 кв. 40</v>
      </c>
      <c r="E5226" s="3">
        <f>HYPERLINK("https://sao.dolgi.msk.ru/account/1404257026/", 1404257026)</f>
        <v>1404257026</v>
      </c>
      <c r="F5226">
        <v>1205.0999999999999</v>
      </c>
    </row>
    <row r="5227" spans="1:6" hidden="1" x14ac:dyDescent="0.25">
      <c r="A5227" t="s">
        <v>663</v>
      </c>
      <c r="B5227" t="s">
        <v>45</v>
      </c>
      <c r="E5227" s="3">
        <f>HYPERLINK("https://sao.dolgi.msk.ru/account/1404258045/", 1404258045)</f>
        <v>1404258045</v>
      </c>
      <c r="F5227">
        <v>-1765.63</v>
      </c>
    </row>
    <row r="5228" spans="1:6" x14ac:dyDescent="0.25">
      <c r="A5228" t="s">
        <v>663</v>
      </c>
      <c r="B5228" t="s">
        <v>46</v>
      </c>
      <c r="C5228" s="5" t="str">
        <f>" кв. "&amp;B5228</f>
        <v xml:space="preserve"> кв. 42</v>
      </c>
      <c r="D5228" s="5" t="str">
        <f>CONCATENATE(A5228,C5228)</f>
        <v>Валдайский пр., дом 22 кв. 42</v>
      </c>
      <c r="E5228" s="3">
        <f>HYPERLINK("https://sao.dolgi.msk.ru/account/1404257333/", 1404257333)</f>
        <v>1404257333</v>
      </c>
      <c r="F5228">
        <v>1110.21</v>
      </c>
    </row>
    <row r="5229" spans="1:6" hidden="1" x14ac:dyDescent="0.25">
      <c r="A5229" t="s">
        <v>663</v>
      </c>
      <c r="B5229" t="s">
        <v>47</v>
      </c>
      <c r="E5229" s="3">
        <f>HYPERLINK("https://sao.dolgi.msk.ru/account/1404257958/", 1404257958)</f>
        <v>1404257958</v>
      </c>
      <c r="F5229">
        <v>-1622.35</v>
      </c>
    </row>
    <row r="5230" spans="1:6" hidden="1" x14ac:dyDescent="0.25">
      <c r="A5230" t="s">
        <v>663</v>
      </c>
      <c r="B5230" t="s">
        <v>48</v>
      </c>
      <c r="E5230" s="3">
        <f>HYPERLINK("https://sao.dolgi.msk.ru/account/1404257472/", 1404257472)</f>
        <v>1404257472</v>
      </c>
      <c r="F5230">
        <v>-2475.48</v>
      </c>
    </row>
    <row r="5231" spans="1:6" hidden="1" x14ac:dyDescent="0.25">
      <c r="A5231" t="s">
        <v>663</v>
      </c>
      <c r="B5231" t="s">
        <v>49</v>
      </c>
      <c r="E5231" s="3">
        <f>HYPERLINK("https://sao.dolgi.msk.ru/account/1404258053/", 1404258053)</f>
        <v>1404258053</v>
      </c>
      <c r="F5231">
        <v>-1917.76</v>
      </c>
    </row>
    <row r="5232" spans="1:6" hidden="1" x14ac:dyDescent="0.25">
      <c r="A5232" t="s">
        <v>663</v>
      </c>
      <c r="B5232" t="s">
        <v>50</v>
      </c>
      <c r="E5232" s="3">
        <f>HYPERLINK("https://sao.dolgi.msk.ru/account/1404257552/", 1404257552)</f>
        <v>1404257552</v>
      </c>
      <c r="F5232">
        <v>0</v>
      </c>
    </row>
    <row r="5233" spans="1:6" hidden="1" x14ac:dyDescent="0.25">
      <c r="A5233" t="s">
        <v>663</v>
      </c>
      <c r="B5233" t="s">
        <v>51</v>
      </c>
      <c r="E5233" s="3">
        <f>HYPERLINK("https://sao.dolgi.msk.ru/account/1404257907/", 1404257907)</f>
        <v>1404257907</v>
      </c>
      <c r="F5233">
        <v>-1793.36</v>
      </c>
    </row>
    <row r="5234" spans="1:6" hidden="1" x14ac:dyDescent="0.25">
      <c r="A5234" t="s">
        <v>663</v>
      </c>
      <c r="B5234" t="s">
        <v>52</v>
      </c>
      <c r="E5234" s="3">
        <f>HYPERLINK("https://sao.dolgi.msk.ru/account/1404257739/", 1404257739)</f>
        <v>1404257739</v>
      </c>
      <c r="F5234">
        <v>-1765.63</v>
      </c>
    </row>
    <row r="5235" spans="1:6" hidden="1" x14ac:dyDescent="0.25">
      <c r="A5235" t="s">
        <v>663</v>
      </c>
      <c r="B5235" t="s">
        <v>53</v>
      </c>
      <c r="E5235" s="3">
        <f>HYPERLINK("https://sao.dolgi.msk.ru/account/1404257392/", 1404257392)</f>
        <v>1404257392</v>
      </c>
      <c r="F5235">
        <v>-859.95</v>
      </c>
    </row>
    <row r="5236" spans="1:6" x14ac:dyDescent="0.25">
      <c r="A5236" t="s">
        <v>663</v>
      </c>
      <c r="B5236" t="s">
        <v>54</v>
      </c>
      <c r="C5236" s="5" t="str">
        <f>" кв. "&amp;B5236</f>
        <v xml:space="preserve"> кв. 50</v>
      </c>
      <c r="D5236" s="5" t="str">
        <f>CONCATENATE(A5236,C5236)</f>
        <v>Валдайский пр., дом 22 кв. 50</v>
      </c>
      <c r="E5236" s="3">
        <f>HYPERLINK("https://sao.dolgi.msk.ru/account/1404257579/", 1404257579)</f>
        <v>1404257579</v>
      </c>
      <c r="F5236">
        <v>594.64</v>
      </c>
    </row>
    <row r="5237" spans="1:6" hidden="1" x14ac:dyDescent="0.25">
      <c r="A5237" t="s">
        <v>663</v>
      </c>
      <c r="B5237" t="s">
        <v>55</v>
      </c>
      <c r="E5237" s="3">
        <f>HYPERLINK("https://sao.dolgi.msk.ru/account/1404257747/", 1404257747)</f>
        <v>1404257747</v>
      </c>
      <c r="F5237">
        <v>-1988.8</v>
      </c>
    </row>
    <row r="5238" spans="1:6" hidden="1" x14ac:dyDescent="0.25">
      <c r="A5238" t="s">
        <v>663</v>
      </c>
      <c r="B5238" t="s">
        <v>56</v>
      </c>
      <c r="E5238" s="3">
        <f>HYPERLINK("https://sao.dolgi.msk.ru/account/1404257413/", 1404257413)</f>
        <v>1404257413</v>
      </c>
      <c r="F5238">
        <v>0</v>
      </c>
    </row>
    <row r="5239" spans="1:6" hidden="1" x14ac:dyDescent="0.25">
      <c r="A5239" t="s">
        <v>663</v>
      </c>
      <c r="B5239" t="s">
        <v>57</v>
      </c>
      <c r="E5239" s="3">
        <f>HYPERLINK("https://sao.dolgi.msk.ru/account/1404257915/", 1404257915)</f>
        <v>1404257915</v>
      </c>
      <c r="F5239">
        <v>-1071.83</v>
      </c>
    </row>
    <row r="5240" spans="1:6" x14ac:dyDescent="0.25">
      <c r="A5240" t="s">
        <v>663</v>
      </c>
      <c r="B5240" t="s">
        <v>58</v>
      </c>
      <c r="C5240" s="5" t="str">
        <f>" кв. "&amp;B5240</f>
        <v xml:space="preserve"> кв. 54</v>
      </c>
      <c r="D5240" s="5" t="str">
        <f>CONCATENATE(A5240,C5240)</f>
        <v>Валдайский пр., дом 22 кв. 54</v>
      </c>
      <c r="E5240" s="3">
        <f>HYPERLINK("https://sao.dolgi.msk.ru/account/1404257421/", 1404257421)</f>
        <v>1404257421</v>
      </c>
      <c r="F5240">
        <v>1227.24</v>
      </c>
    </row>
    <row r="5241" spans="1:6" hidden="1" x14ac:dyDescent="0.25">
      <c r="A5241" t="s">
        <v>663</v>
      </c>
      <c r="B5241" t="s">
        <v>59</v>
      </c>
      <c r="E5241" s="3">
        <f>HYPERLINK("https://sao.dolgi.msk.ru/account/1404257755/", 1404257755)</f>
        <v>1404257755</v>
      </c>
      <c r="F5241">
        <v>-1016.86</v>
      </c>
    </row>
    <row r="5242" spans="1:6" hidden="1" x14ac:dyDescent="0.25">
      <c r="A5242" t="s">
        <v>663</v>
      </c>
      <c r="B5242" t="s">
        <v>60</v>
      </c>
      <c r="E5242" s="3">
        <f>HYPERLINK("https://sao.dolgi.msk.ru/account/1404257587/", 1404257587)</f>
        <v>1404257587</v>
      </c>
      <c r="F5242">
        <v>-1631.6</v>
      </c>
    </row>
    <row r="5243" spans="1:6" hidden="1" x14ac:dyDescent="0.25">
      <c r="A5243" t="s">
        <v>663</v>
      </c>
      <c r="B5243" t="s">
        <v>61</v>
      </c>
      <c r="E5243" s="3">
        <f>HYPERLINK("https://sao.dolgi.msk.ru/account/1404257923/", 1404257923)</f>
        <v>1404257923</v>
      </c>
      <c r="F5243">
        <v>-841.95</v>
      </c>
    </row>
    <row r="5244" spans="1:6" hidden="1" x14ac:dyDescent="0.25">
      <c r="A5244" t="s">
        <v>663</v>
      </c>
      <c r="B5244" t="s">
        <v>62</v>
      </c>
      <c r="E5244" s="3">
        <f>HYPERLINK("https://sao.dolgi.msk.ru/account/1404258029/", 1404258029)</f>
        <v>1404258029</v>
      </c>
      <c r="F5244">
        <v>-2981.53</v>
      </c>
    </row>
    <row r="5245" spans="1:6" hidden="1" x14ac:dyDescent="0.25">
      <c r="A5245" t="s">
        <v>663</v>
      </c>
      <c r="B5245" t="s">
        <v>63</v>
      </c>
      <c r="E5245" s="3">
        <f>HYPERLINK("https://sao.dolgi.msk.ru/account/1404257202/", 1404257202)</f>
        <v>1404257202</v>
      </c>
      <c r="F5245">
        <v>-1323.16</v>
      </c>
    </row>
    <row r="5246" spans="1:6" hidden="1" x14ac:dyDescent="0.25">
      <c r="A5246" t="s">
        <v>663</v>
      </c>
      <c r="B5246" t="s">
        <v>64</v>
      </c>
      <c r="E5246" s="3">
        <f>HYPERLINK("https://sao.dolgi.msk.ru/account/1404257448/", 1404257448)</f>
        <v>1404257448</v>
      </c>
      <c r="F5246">
        <v>-2075.31</v>
      </c>
    </row>
    <row r="5247" spans="1:6" hidden="1" x14ac:dyDescent="0.25">
      <c r="A5247" t="s">
        <v>663</v>
      </c>
      <c r="B5247" t="s">
        <v>65</v>
      </c>
      <c r="E5247" s="3">
        <f>HYPERLINK("https://sao.dolgi.msk.ru/account/1404257931/", 1404257931)</f>
        <v>1404257931</v>
      </c>
      <c r="F5247">
        <v>0</v>
      </c>
    </row>
    <row r="5248" spans="1:6" x14ac:dyDescent="0.25">
      <c r="A5248" t="s">
        <v>663</v>
      </c>
      <c r="B5248" t="s">
        <v>66</v>
      </c>
      <c r="C5248" s="5" t="str">
        <f>" кв. "&amp;B5248</f>
        <v xml:space="preserve"> кв. 62</v>
      </c>
      <c r="D5248" s="5" t="str">
        <f>CONCATENATE(A5248,C5248)</f>
        <v>Валдайский пр., дом 22 кв. 62</v>
      </c>
      <c r="E5248" s="3">
        <f>HYPERLINK("https://sao.dolgi.msk.ru/account/1404257595/", 1404257595)</f>
        <v>1404257595</v>
      </c>
      <c r="F5248">
        <v>695.86</v>
      </c>
    </row>
    <row r="5249" spans="1:6" hidden="1" x14ac:dyDescent="0.25">
      <c r="A5249" t="s">
        <v>663</v>
      </c>
      <c r="B5249" t="s">
        <v>67</v>
      </c>
      <c r="E5249" s="3">
        <f>HYPERLINK("https://sao.dolgi.msk.ru/account/1404257456/", 1404257456)</f>
        <v>1404257456</v>
      </c>
      <c r="F5249">
        <v>-1381.61</v>
      </c>
    </row>
    <row r="5250" spans="1:6" hidden="1" x14ac:dyDescent="0.25">
      <c r="A5250" t="s">
        <v>663</v>
      </c>
      <c r="B5250" t="s">
        <v>68</v>
      </c>
      <c r="E5250" s="3">
        <f>HYPERLINK("https://sao.dolgi.msk.ru/account/1404257237/", 1404257237)</f>
        <v>1404257237</v>
      </c>
      <c r="F5250">
        <v>-1631.6</v>
      </c>
    </row>
    <row r="5251" spans="1:6" hidden="1" x14ac:dyDescent="0.25">
      <c r="A5251" t="s">
        <v>663</v>
      </c>
      <c r="B5251" t="s">
        <v>69</v>
      </c>
      <c r="E5251" s="3">
        <f>HYPERLINK("https://sao.dolgi.msk.ru/account/1404257245/", 1404257245)</f>
        <v>1404257245</v>
      </c>
      <c r="F5251">
        <v>-2227.84</v>
      </c>
    </row>
    <row r="5252" spans="1:6" x14ac:dyDescent="0.25">
      <c r="A5252" t="s">
        <v>663</v>
      </c>
      <c r="B5252" t="s">
        <v>70</v>
      </c>
      <c r="C5252" s="5" t="str">
        <f>" кв. "&amp;B5252</f>
        <v xml:space="preserve"> кв. 66</v>
      </c>
      <c r="D5252" s="5" t="str">
        <f>CONCATENATE(A5252,C5252)</f>
        <v>Валдайский пр., дом 22 кв. 66</v>
      </c>
      <c r="E5252" s="3">
        <f>HYPERLINK("https://sao.dolgi.msk.ru/account/1404258037/", 1404258037)</f>
        <v>1404258037</v>
      </c>
      <c r="F5252">
        <v>1499.26</v>
      </c>
    </row>
    <row r="5253" spans="1:6" hidden="1" x14ac:dyDescent="0.25">
      <c r="A5253" t="s">
        <v>663</v>
      </c>
      <c r="B5253" t="s">
        <v>71</v>
      </c>
      <c r="E5253" s="3">
        <f>HYPERLINK("https://sao.dolgi.msk.ru/account/1404257165/", 1404257165)</f>
        <v>1404257165</v>
      </c>
      <c r="F5253">
        <v>0</v>
      </c>
    </row>
    <row r="5254" spans="1:6" x14ac:dyDescent="0.25">
      <c r="A5254" t="s">
        <v>663</v>
      </c>
      <c r="B5254" t="s">
        <v>72</v>
      </c>
      <c r="C5254" s="5" t="str">
        <f t="shared" ref="C5254:C5259" si="248">" кв. "&amp;B5254</f>
        <v xml:space="preserve"> кв. 68</v>
      </c>
      <c r="D5254" s="5" t="str">
        <f>CONCATENATE(A5254,C5254)</f>
        <v>Валдайский пр., дом 22 кв. 68</v>
      </c>
      <c r="E5254" s="3">
        <f>HYPERLINK("https://sao.dolgi.msk.ru/account/1404257608/", 1404257608)</f>
        <v>1404257608</v>
      </c>
      <c r="F5254">
        <v>1227.24</v>
      </c>
    </row>
    <row r="5255" spans="1:6" x14ac:dyDescent="0.25">
      <c r="A5255" t="s">
        <v>663</v>
      </c>
      <c r="B5255" t="s">
        <v>73</v>
      </c>
      <c r="C5255" s="5" t="str">
        <f t="shared" si="248"/>
        <v xml:space="preserve"> кв. 69</v>
      </c>
      <c r="D5255" s="5" t="str">
        <f>CONCATENATE(A5255,C5255)</f>
        <v>Валдайский пр., дом 22 кв. 69</v>
      </c>
      <c r="E5255" s="3">
        <f>HYPERLINK("https://sao.dolgi.msk.ru/account/1404257253/", 1404257253)</f>
        <v>1404257253</v>
      </c>
      <c r="F5255">
        <v>1211.43</v>
      </c>
    </row>
    <row r="5256" spans="1:6" x14ac:dyDescent="0.25">
      <c r="A5256" t="s">
        <v>663</v>
      </c>
      <c r="B5256" t="s">
        <v>74</v>
      </c>
      <c r="C5256" s="5" t="str">
        <f t="shared" si="248"/>
        <v xml:space="preserve"> кв. 70</v>
      </c>
      <c r="D5256" s="5" t="str">
        <f>CONCATENATE(A5256,C5256)</f>
        <v>Валдайский пр., дом 22 кв. 70</v>
      </c>
      <c r="E5256" s="3">
        <f>HYPERLINK("https://sao.dolgi.msk.ru/account/1404257173/", 1404257173)</f>
        <v>1404257173</v>
      </c>
      <c r="F5256">
        <v>585.15</v>
      </c>
    </row>
    <row r="5257" spans="1:6" x14ac:dyDescent="0.25">
      <c r="A5257" t="s">
        <v>663</v>
      </c>
      <c r="B5257" t="s">
        <v>75</v>
      </c>
      <c r="C5257" s="5" t="str">
        <f t="shared" si="248"/>
        <v xml:space="preserve"> кв. 71</v>
      </c>
      <c r="D5257" s="5" t="str">
        <f>CONCATENATE(A5257,C5257)</f>
        <v>Валдайский пр., дом 22 кв. 71</v>
      </c>
      <c r="E5257" s="3">
        <f>HYPERLINK("https://sao.dolgi.msk.ru/account/1404256904/", 1404256904)</f>
        <v>1404256904</v>
      </c>
      <c r="F5257">
        <v>581.99</v>
      </c>
    </row>
    <row r="5258" spans="1:6" x14ac:dyDescent="0.25">
      <c r="A5258" t="s">
        <v>663</v>
      </c>
      <c r="B5258" t="s">
        <v>76</v>
      </c>
      <c r="C5258" s="5" t="str">
        <f t="shared" si="248"/>
        <v xml:space="preserve"> кв. 72</v>
      </c>
      <c r="D5258" s="5" t="str">
        <f>CONCATENATE(A5258,C5258)</f>
        <v>Валдайский пр., дом 22 кв. 72</v>
      </c>
      <c r="E5258" s="3">
        <f>HYPERLINK("https://sao.dolgi.msk.ru/account/1404258002/", 1404258002)</f>
        <v>1404258002</v>
      </c>
      <c r="F5258">
        <v>1372.74</v>
      </c>
    </row>
    <row r="5259" spans="1:6" x14ac:dyDescent="0.25">
      <c r="A5259" t="s">
        <v>663</v>
      </c>
      <c r="B5259" t="s">
        <v>77</v>
      </c>
      <c r="C5259" s="5" t="str">
        <f t="shared" si="248"/>
        <v xml:space="preserve"> кв. 73</v>
      </c>
      <c r="D5259" s="5" t="str">
        <f>CONCATENATE(A5259,C5259)</f>
        <v>Валдайский пр., дом 22 кв. 73</v>
      </c>
      <c r="E5259" s="3">
        <f>HYPERLINK("https://sao.dolgi.msk.ru/account/1404257376/", 1404257376)</f>
        <v>1404257376</v>
      </c>
      <c r="F5259">
        <v>1499.26</v>
      </c>
    </row>
    <row r="5260" spans="1:6" hidden="1" x14ac:dyDescent="0.25">
      <c r="A5260" t="s">
        <v>663</v>
      </c>
      <c r="B5260" t="s">
        <v>78</v>
      </c>
      <c r="E5260" s="3">
        <f>HYPERLINK("https://sao.dolgi.msk.ru/account/1404257878/", 1404257878)</f>
        <v>1404257878</v>
      </c>
      <c r="F5260">
        <v>-2070.6799999999998</v>
      </c>
    </row>
    <row r="5261" spans="1:6" x14ac:dyDescent="0.25">
      <c r="A5261" t="s">
        <v>663</v>
      </c>
      <c r="B5261" t="s">
        <v>79</v>
      </c>
      <c r="C5261" s="5" t="str">
        <f t="shared" ref="C5261:C5262" si="249">" кв. "&amp;B5261</f>
        <v xml:space="preserve"> кв. 75</v>
      </c>
      <c r="D5261" s="5" t="str">
        <f>CONCATENATE(A5261,C5261)</f>
        <v>Валдайский пр., дом 22 кв. 75</v>
      </c>
      <c r="E5261" s="3">
        <f>HYPERLINK("https://sao.dolgi.msk.ru/account/1404257886/", 1404257886)</f>
        <v>1404257886</v>
      </c>
      <c r="F5261">
        <v>1230.4100000000001</v>
      </c>
    </row>
    <row r="5262" spans="1:6" x14ac:dyDescent="0.25">
      <c r="A5262" t="s">
        <v>663</v>
      </c>
      <c r="B5262" t="s">
        <v>80</v>
      </c>
      <c r="C5262" s="5" t="str">
        <f t="shared" si="249"/>
        <v xml:space="preserve"> кв. 76</v>
      </c>
      <c r="D5262" s="5" t="str">
        <f>CONCATENATE(A5262,C5262)</f>
        <v>Валдайский пр., дом 22 кв. 76</v>
      </c>
      <c r="E5262" s="3">
        <f>HYPERLINK("https://sao.dolgi.msk.ru/account/1404256912/", 1404256912)</f>
        <v>1404256912</v>
      </c>
      <c r="F5262">
        <v>1224.08</v>
      </c>
    </row>
    <row r="5263" spans="1:6" hidden="1" x14ac:dyDescent="0.25">
      <c r="A5263" t="s">
        <v>663</v>
      </c>
      <c r="B5263" t="s">
        <v>81</v>
      </c>
      <c r="E5263" s="3">
        <f>HYPERLINK("https://sao.dolgi.msk.ru/account/1404257384/", 1404257384)</f>
        <v>1404257384</v>
      </c>
      <c r="F5263">
        <v>-1366.29</v>
      </c>
    </row>
    <row r="5264" spans="1:6" hidden="1" x14ac:dyDescent="0.25">
      <c r="A5264" t="s">
        <v>663</v>
      </c>
      <c r="B5264" t="s">
        <v>82</v>
      </c>
      <c r="E5264" s="3">
        <f>HYPERLINK("https://sao.dolgi.msk.ru/account/1404257149/", 1404257149)</f>
        <v>1404257149</v>
      </c>
      <c r="F5264">
        <v>0</v>
      </c>
    </row>
    <row r="5265" spans="1:6" x14ac:dyDescent="0.25">
      <c r="A5265" t="s">
        <v>663</v>
      </c>
      <c r="B5265" t="s">
        <v>83</v>
      </c>
      <c r="C5265" s="5" t="str">
        <f t="shared" ref="C5265:C5266" si="250">" кв. "&amp;B5265</f>
        <v xml:space="preserve"> кв. 79</v>
      </c>
      <c r="D5265" s="5" t="str">
        <f>CONCATENATE(A5265,C5265)</f>
        <v>Валдайский пр., дом 22 кв. 79</v>
      </c>
      <c r="E5265" s="3">
        <f>HYPERLINK("https://sao.dolgi.msk.ru/account/1404257712/", 1404257712)</f>
        <v>1404257712</v>
      </c>
      <c r="F5265">
        <v>2043.3</v>
      </c>
    </row>
    <row r="5266" spans="1:6" x14ac:dyDescent="0.25">
      <c r="A5266" t="s">
        <v>663</v>
      </c>
      <c r="B5266" t="s">
        <v>84</v>
      </c>
      <c r="C5266" s="5" t="str">
        <f t="shared" si="250"/>
        <v xml:space="preserve"> кв. 80</v>
      </c>
      <c r="D5266" s="5" t="str">
        <f>CONCATENATE(A5266,C5266)</f>
        <v>Валдайский пр., дом 22 кв. 80</v>
      </c>
      <c r="E5266" s="3">
        <f>HYPERLINK("https://sao.dolgi.msk.ru/account/1404257157/", 1404257157)</f>
        <v>1404257157</v>
      </c>
      <c r="F5266">
        <v>1496.1</v>
      </c>
    </row>
    <row r="5267" spans="1:6" hidden="1" x14ac:dyDescent="0.25">
      <c r="A5267" t="s">
        <v>663</v>
      </c>
      <c r="B5267" t="s">
        <v>85</v>
      </c>
      <c r="E5267" s="3">
        <f>HYPERLINK("https://sao.dolgi.msk.ru/account/1404257894/", 1404257894)</f>
        <v>1404257894</v>
      </c>
      <c r="F5267">
        <v>-2056.8200000000002</v>
      </c>
    </row>
    <row r="5268" spans="1:6" x14ac:dyDescent="0.25">
      <c r="A5268" t="s">
        <v>663</v>
      </c>
      <c r="B5268" t="s">
        <v>86</v>
      </c>
      <c r="C5268" s="5" t="str">
        <f>" кв. "&amp;B5268</f>
        <v xml:space="preserve"> кв. 82</v>
      </c>
      <c r="D5268" s="5" t="str">
        <f>CONCATENATE(A5268,C5268)</f>
        <v>Валдайский пр., дом 22 кв. 82</v>
      </c>
      <c r="E5268" s="3">
        <f>HYPERLINK("https://sao.dolgi.msk.ru/account/1404256947/", 1404256947)</f>
        <v>1404256947</v>
      </c>
      <c r="F5268">
        <v>699.02</v>
      </c>
    </row>
    <row r="5269" spans="1:6" hidden="1" x14ac:dyDescent="0.25">
      <c r="A5269" t="s">
        <v>663</v>
      </c>
      <c r="B5269" t="s">
        <v>87</v>
      </c>
      <c r="E5269" s="3">
        <f>HYPERLINK("https://sao.dolgi.msk.ru/account/1404257501/", 1404257501)</f>
        <v>1404257501</v>
      </c>
      <c r="F5269">
        <v>-1774.87</v>
      </c>
    </row>
    <row r="5270" spans="1:6" hidden="1" x14ac:dyDescent="0.25">
      <c r="A5270" t="s">
        <v>663</v>
      </c>
      <c r="B5270" t="s">
        <v>88</v>
      </c>
      <c r="E5270" s="3">
        <f>HYPERLINK("https://sao.dolgi.msk.ru/account/1404257528/", 1404257528)</f>
        <v>1404257528</v>
      </c>
      <c r="F5270">
        <v>-855.09</v>
      </c>
    </row>
    <row r="5271" spans="1:6" hidden="1" x14ac:dyDescent="0.25">
      <c r="A5271" t="s">
        <v>663</v>
      </c>
      <c r="B5271" t="s">
        <v>89</v>
      </c>
      <c r="E5271" s="3">
        <f>HYPERLINK("https://sao.dolgi.msk.ru/account/1404257683/", 1404257683)</f>
        <v>1404257683</v>
      </c>
      <c r="F5271">
        <v>-1613.11</v>
      </c>
    </row>
    <row r="5272" spans="1:6" x14ac:dyDescent="0.25">
      <c r="A5272" t="s">
        <v>663</v>
      </c>
      <c r="B5272" t="s">
        <v>90</v>
      </c>
      <c r="C5272" s="5" t="str">
        <f>" кв. "&amp;B5272</f>
        <v xml:space="preserve"> кв. 86</v>
      </c>
      <c r="D5272" s="5" t="str">
        <f>CONCATENATE(A5272,C5272)</f>
        <v>Валдайский пр., дом 22 кв. 86</v>
      </c>
      <c r="E5272" s="3">
        <f>HYPERLINK("https://sao.dolgi.msk.ru/account/1404257982/", 1404257982)</f>
        <v>1404257982</v>
      </c>
      <c r="F5272">
        <v>2033.81</v>
      </c>
    </row>
    <row r="5273" spans="1:6" hidden="1" x14ac:dyDescent="0.25">
      <c r="A5273" t="s">
        <v>663</v>
      </c>
      <c r="B5273" t="s">
        <v>91</v>
      </c>
      <c r="E5273" s="3">
        <f>HYPERLINK("https://sao.dolgi.msk.ru/account/1404257114/", 1404257114)</f>
        <v>1404257114</v>
      </c>
      <c r="F5273">
        <v>-2172.37</v>
      </c>
    </row>
    <row r="5274" spans="1:6" hidden="1" x14ac:dyDescent="0.25">
      <c r="A5274" t="s">
        <v>663</v>
      </c>
      <c r="B5274" t="s">
        <v>92</v>
      </c>
      <c r="E5274" s="3">
        <f>HYPERLINK("https://sao.dolgi.msk.ru/account/1404257122/", 1404257122)</f>
        <v>1404257122</v>
      </c>
      <c r="F5274">
        <v>-2061.44</v>
      </c>
    </row>
    <row r="5275" spans="1:6" hidden="1" x14ac:dyDescent="0.25">
      <c r="A5275" t="s">
        <v>663</v>
      </c>
      <c r="B5275" t="s">
        <v>93</v>
      </c>
      <c r="E5275" s="3">
        <f>HYPERLINK("https://sao.dolgi.msk.ru/account/1404257536/", 1404257536)</f>
        <v>1404257536</v>
      </c>
      <c r="F5275">
        <v>-1030.72</v>
      </c>
    </row>
    <row r="5276" spans="1:6" x14ac:dyDescent="0.25">
      <c r="A5276" t="s">
        <v>663</v>
      </c>
      <c r="B5276" t="s">
        <v>94</v>
      </c>
      <c r="C5276" s="5" t="str">
        <f t="shared" ref="C5276:C5277" si="251">" кв. "&amp;B5276</f>
        <v xml:space="preserve"> кв. 90</v>
      </c>
      <c r="D5276" s="5" t="str">
        <f>CONCATENATE(A5276,C5276)</f>
        <v>Валдайский пр., дом 22 кв. 90</v>
      </c>
      <c r="E5276" s="3">
        <f>HYPERLINK("https://sao.dolgi.msk.ru/account/1404257704/", 1404257704)</f>
        <v>1404257704</v>
      </c>
      <c r="F5276">
        <v>1205.0999999999999</v>
      </c>
    </row>
    <row r="5277" spans="1:6" x14ac:dyDescent="0.25">
      <c r="A5277" t="s">
        <v>663</v>
      </c>
      <c r="B5277" t="s">
        <v>95</v>
      </c>
      <c r="C5277" s="5" t="str">
        <f t="shared" si="251"/>
        <v xml:space="preserve"> кв. 91</v>
      </c>
      <c r="D5277" s="5" t="str">
        <f>CONCATENATE(A5277,C5277)</f>
        <v>Валдайский пр., дом 22 кв. 91</v>
      </c>
      <c r="E5277" s="3">
        <f>HYPERLINK("https://sao.dolgi.msk.ru/account/1404257544/", 1404257544)</f>
        <v>1404257544</v>
      </c>
      <c r="F5277">
        <v>1100.72</v>
      </c>
    </row>
    <row r="5278" spans="1:6" hidden="1" x14ac:dyDescent="0.25">
      <c r="A5278" t="s">
        <v>663</v>
      </c>
      <c r="B5278" t="s">
        <v>96</v>
      </c>
      <c r="E5278" s="3">
        <f>HYPERLINK("https://sao.dolgi.msk.ru/account/1404257093/", 1404257093)</f>
        <v>1404257093</v>
      </c>
      <c r="F5278">
        <v>-1613.11</v>
      </c>
    </row>
    <row r="5279" spans="1:6" hidden="1" x14ac:dyDescent="0.25">
      <c r="A5279" t="s">
        <v>663</v>
      </c>
      <c r="B5279" t="s">
        <v>97</v>
      </c>
      <c r="E5279" s="3">
        <f>HYPERLINK("https://sao.dolgi.msk.ru/account/1404257851/", 1404257851)</f>
        <v>1404257851</v>
      </c>
      <c r="F5279">
        <v>-2962.74</v>
      </c>
    </row>
    <row r="5280" spans="1:6" hidden="1" x14ac:dyDescent="0.25">
      <c r="A5280" t="s">
        <v>663</v>
      </c>
      <c r="B5280" t="s">
        <v>98</v>
      </c>
      <c r="E5280" s="3">
        <f>HYPERLINK("https://sao.dolgi.msk.ru/account/1404257499/", 1404257499)</f>
        <v>1404257499</v>
      </c>
      <c r="F5280">
        <v>0</v>
      </c>
    </row>
    <row r="5281" spans="1:6" hidden="1" x14ac:dyDescent="0.25">
      <c r="A5281" t="s">
        <v>663</v>
      </c>
      <c r="B5281" t="s">
        <v>99</v>
      </c>
      <c r="E5281" s="3">
        <f>HYPERLINK("https://sao.dolgi.msk.ru/account/1404257106/", 1404257106)</f>
        <v>1404257106</v>
      </c>
      <c r="F5281">
        <v>-2047.57</v>
      </c>
    </row>
    <row r="5282" spans="1:6" hidden="1" x14ac:dyDescent="0.25">
      <c r="A5282" t="s">
        <v>663</v>
      </c>
      <c r="B5282" t="s">
        <v>100</v>
      </c>
      <c r="E5282" s="3">
        <f>HYPERLINK("https://sao.dolgi.msk.ru/account/1404257974/", 1404257974)</f>
        <v>1404257974</v>
      </c>
      <c r="F5282">
        <v>-1797.99</v>
      </c>
    </row>
    <row r="5283" spans="1:6" hidden="1" x14ac:dyDescent="0.25">
      <c r="A5283" t="s">
        <v>663</v>
      </c>
      <c r="B5283" t="s">
        <v>101</v>
      </c>
      <c r="E5283" s="3">
        <f>HYPERLINK("https://sao.dolgi.msk.ru/account/1404258096/", 1404258096)</f>
        <v>1404258096</v>
      </c>
      <c r="F5283">
        <v>-1167.57</v>
      </c>
    </row>
    <row r="5284" spans="1:6" hidden="1" x14ac:dyDescent="0.25">
      <c r="A5284" t="s">
        <v>663</v>
      </c>
      <c r="B5284" t="s">
        <v>102</v>
      </c>
      <c r="E5284" s="3">
        <f>HYPERLINK("https://sao.dolgi.msk.ru/account/1404258109/", 1404258109)</f>
        <v>1404258109</v>
      </c>
      <c r="F5284">
        <v>-1608.48</v>
      </c>
    </row>
    <row r="5285" spans="1:6" hidden="1" x14ac:dyDescent="0.25">
      <c r="A5285" t="s">
        <v>664</v>
      </c>
      <c r="B5285" t="s">
        <v>5</v>
      </c>
      <c r="E5285" s="3">
        <f>HYPERLINK("https://sao.dolgi.msk.ru/account/1404109023/", 1404109023)</f>
        <v>1404109023</v>
      </c>
      <c r="F5285">
        <v>-2230.48</v>
      </c>
    </row>
    <row r="5286" spans="1:6" hidden="1" x14ac:dyDescent="0.25">
      <c r="A5286" t="s">
        <v>664</v>
      </c>
      <c r="B5286" t="s">
        <v>6</v>
      </c>
      <c r="E5286" s="3">
        <f>HYPERLINK("https://sao.dolgi.msk.ru/account/1404110737/", 1404110737)</f>
        <v>1404110737</v>
      </c>
      <c r="F5286">
        <v>-1100.44</v>
      </c>
    </row>
    <row r="5287" spans="1:6" hidden="1" x14ac:dyDescent="0.25">
      <c r="A5287" t="s">
        <v>664</v>
      </c>
      <c r="B5287" t="s">
        <v>7</v>
      </c>
      <c r="E5287" s="3">
        <f>HYPERLINK("https://sao.dolgi.msk.ru/account/1404111772/", 1404111772)</f>
        <v>1404111772</v>
      </c>
      <c r="F5287">
        <v>0</v>
      </c>
    </row>
    <row r="5288" spans="1:6" hidden="1" x14ac:dyDescent="0.25">
      <c r="A5288" t="s">
        <v>664</v>
      </c>
      <c r="B5288" t="s">
        <v>8</v>
      </c>
      <c r="E5288" s="3">
        <f>HYPERLINK("https://sao.dolgi.msk.ru/account/1404109605/", 1404109605)</f>
        <v>1404109605</v>
      </c>
      <c r="F5288">
        <v>-4256.21</v>
      </c>
    </row>
    <row r="5289" spans="1:6" hidden="1" x14ac:dyDescent="0.25">
      <c r="A5289" t="s">
        <v>664</v>
      </c>
      <c r="B5289" t="s">
        <v>9</v>
      </c>
      <c r="E5289" s="3">
        <f>HYPERLINK("https://sao.dolgi.msk.ru/account/1404110016/", 1404110016)</f>
        <v>1404110016</v>
      </c>
      <c r="F5289">
        <v>0</v>
      </c>
    </row>
    <row r="5290" spans="1:6" hidden="1" x14ac:dyDescent="0.25">
      <c r="A5290" t="s">
        <v>664</v>
      </c>
      <c r="B5290" t="s">
        <v>10</v>
      </c>
      <c r="E5290" s="3">
        <f>HYPERLINK("https://sao.dolgi.msk.ru/account/1404110825/", 1404110825)</f>
        <v>1404110825</v>
      </c>
      <c r="F5290">
        <v>-6585.4</v>
      </c>
    </row>
    <row r="5291" spans="1:6" hidden="1" x14ac:dyDescent="0.25">
      <c r="A5291" t="s">
        <v>664</v>
      </c>
      <c r="B5291" t="s">
        <v>11</v>
      </c>
      <c r="E5291" s="3">
        <f>HYPERLINK("https://sao.dolgi.msk.ru/account/1404109189/", 1404109189)</f>
        <v>1404109189</v>
      </c>
      <c r="F5291">
        <v>-3343.4</v>
      </c>
    </row>
    <row r="5292" spans="1:6" hidden="1" x14ac:dyDescent="0.25">
      <c r="A5292" t="s">
        <v>664</v>
      </c>
      <c r="B5292" t="s">
        <v>12</v>
      </c>
      <c r="E5292" s="3">
        <f>HYPERLINK("https://sao.dolgi.msk.ru/account/1404111529/", 1404111529)</f>
        <v>1404111529</v>
      </c>
      <c r="F5292">
        <v>-3368.57</v>
      </c>
    </row>
    <row r="5293" spans="1:6" hidden="1" x14ac:dyDescent="0.25">
      <c r="A5293" t="s">
        <v>664</v>
      </c>
      <c r="B5293" t="s">
        <v>13</v>
      </c>
      <c r="E5293" s="3">
        <f>HYPERLINK("https://sao.dolgi.msk.ru/account/1404110892/", 1404110892)</f>
        <v>1404110892</v>
      </c>
      <c r="F5293">
        <v>0</v>
      </c>
    </row>
    <row r="5294" spans="1:6" hidden="1" x14ac:dyDescent="0.25">
      <c r="A5294" t="s">
        <v>664</v>
      </c>
      <c r="B5294" t="s">
        <v>14</v>
      </c>
      <c r="E5294" s="3">
        <f>HYPERLINK("https://sao.dolgi.msk.ru/account/1404109912/", 1404109912)</f>
        <v>1404109912</v>
      </c>
      <c r="F5294">
        <v>-1938.37</v>
      </c>
    </row>
    <row r="5295" spans="1:6" hidden="1" x14ac:dyDescent="0.25">
      <c r="A5295" t="s">
        <v>664</v>
      </c>
      <c r="B5295" t="s">
        <v>15</v>
      </c>
      <c r="E5295" s="3">
        <f>HYPERLINK("https://sao.dolgi.msk.ru/account/1404109058/", 1404109058)</f>
        <v>1404109058</v>
      </c>
      <c r="F5295">
        <v>-2289.19</v>
      </c>
    </row>
    <row r="5296" spans="1:6" hidden="1" x14ac:dyDescent="0.25">
      <c r="A5296" t="s">
        <v>664</v>
      </c>
      <c r="B5296" t="s">
        <v>16</v>
      </c>
      <c r="E5296" s="3">
        <f>HYPERLINK("https://sao.dolgi.msk.ru/account/1404109269/", 1404109269)</f>
        <v>1404109269</v>
      </c>
      <c r="F5296">
        <v>-419.05</v>
      </c>
    </row>
    <row r="5297" spans="1:6" hidden="1" x14ac:dyDescent="0.25">
      <c r="A5297" t="s">
        <v>664</v>
      </c>
      <c r="B5297" t="s">
        <v>16</v>
      </c>
      <c r="E5297" s="3">
        <f>HYPERLINK("https://sao.dolgi.msk.ru/account/1404111406/", 1404111406)</f>
        <v>1404111406</v>
      </c>
      <c r="F5297">
        <v>-2270.59</v>
      </c>
    </row>
    <row r="5298" spans="1:6" hidden="1" x14ac:dyDescent="0.25">
      <c r="A5298" t="s">
        <v>664</v>
      </c>
      <c r="B5298" t="s">
        <v>17</v>
      </c>
      <c r="E5298" s="3">
        <f>HYPERLINK("https://sao.dolgi.msk.ru/account/1404111457/", 1404111457)</f>
        <v>1404111457</v>
      </c>
      <c r="F5298">
        <v>-3239.98</v>
      </c>
    </row>
    <row r="5299" spans="1:6" hidden="1" x14ac:dyDescent="0.25">
      <c r="A5299" t="s">
        <v>664</v>
      </c>
      <c r="B5299" t="s">
        <v>18</v>
      </c>
      <c r="E5299" s="3">
        <f>HYPERLINK("https://sao.dolgi.msk.ru/account/1404109541/", 1404109541)</f>
        <v>1404109541</v>
      </c>
      <c r="F5299">
        <v>-4801.3500000000004</v>
      </c>
    </row>
    <row r="5300" spans="1:6" hidden="1" x14ac:dyDescent="0.25">
      <c r="A5300" t="s">
        <v>664</v>
      </c>
      <c r="B5300" t="s">
        <v>19</v>
      </c>
      <c r="E5300" s="3">
        <f>HYPERLINK("https://sao.dolgi.msk.ru/account/1404111465/", 1404111465)</f>
        <v>1404111465</v>
      </c>
      <c r="F5300">
        <v>-5504.73</v>
      </c>
    </row>
    <row r="5301" spans="1:6" hidden="1" x14ac:dyDescent="0.25">
      <c r="A5301" t="s">
        <v>664</v>
      </c>
      <c r="B5301" t="s">
        <v>20</v>
      </c>
      <c r="E5301" s="3">
        <f>HYPERLINK("https://sao.dolgi.msk.ru/account/1404110729/", 1404110729)</f>
        <v>1404110729</v>
      </c>
      <c r="F5301">
        <v>-1045.1099999999999</v>
      </c>
    </row>
    <row r="5302" spans="1:6" hidden="1" x14ac:dyDescent="0.25">
      <c r="A5302" t="s">
        <v>664</v>
      </c>
      <c r="B5302" t="s">
        <v>21</v>
      </c>
      <c r="E5302" s="3">
        <f>HYPERLINK("https://sao.dolgi.msk.ru/account/1404109082/", 1404109082)</f>
        <v>1404109082</v>
      </c>
      <c r="F5302">
        <v>0</v>
      </c>
    </row>
    <row r="5303" spans="1:6" hidden="1" x14ac:dyDescent="0.25">
      <c r="A5303" t="s">
        <v>664</v>
      </c>
      <c r="B5303" t="s">
        <v>22</v>
      </c>
      <c r="E5303" s="3">
        <f>HYPERLINK("https://sao.dolgi.msk.ru/account/1404109947/", 1404109947)</f>
        <v>1404109947</v>
      </c>
      <c r="F5303">
        <v>-510.28</v>
      </c>
    </row>
    <row r="5304" spans="1:6" hidden="1" x14ac:dyDescent="0.25">
      <c r="A5304" t="s">
        <v>664</v>
      </c>
      <c r="B5304" t="s">
        <v>23</v>
      </c>
      <c r="E5304" s="3">
        <f>HYPERLINK("https://sao.dolgi.msk.ru/account/1404109744/", 1404109744)</f>
        <v>1404109744</v>
      </c>
      <c r="F5304">
        <v>-1518.94</v>
      </c>
    </row>
    <row r="5305" spans="1:6" hidden="1" x14ac:dyDescent="0.25">
      <c r="A5305" t="s">
        <v>664</v>
      </c>
      <c r="B5305" t="s">
        <v>23</v>
      </c>
      <c r="E5305" s="3">
        <f>HYPERLINK("https://sao.dolgi.msk.ru/account/1404111756/", 1404111756)</f>
        <v>1404111756</v>
      </c>
      <c r="F5305">
        <v>-2143.5700000000002</v>
      </c>
    </row>
    <row r="5306" spans="1:6" x14ac:dyDescent="0.25">
      <c r="A5306" t="s">
        <v>664</v>
      </c>
      <c r="B5306" t="s">
        <v>24</v>
      </c>
      <c r="C5306" s="5" t="str">
        <f>" кв. "&amp;B5306</f>
        <v xml:space="preserve"> кв. 20</v>
      </c>
      <c r="D5306" s="5" t="str">
        <f>CONCATENATE(A5306,C5306)</f>
        <v>Ленинградское шоссе, дом 92/1 кв. 20</v>
      </c>
      <c r="E5306" s="3">
        <f>HYPERLINK("https://sao.dolgi.msk.ru/account/1404109955/", 1404109955)</f>
        <v>1404109955</v>
      </c>
      <c r="F5306">
        <v>12263.93</v>
      </c>
    </row>
    <row r="5307" spans="1:6" hidden="1" x14ac:dyDescent="0.25">
      <c r="A5307" t="s">
        <v>664</v>
      </c>
      <c r="B5307" t="s">
        <v>24</v>
      </c>
      <c r="E5307" s="3">
        <f>HYPERLINK("https://sao.dolgi.msk.ru/account/1404139767/", 1404139767)</f>
        <v>1404139767</v>
      </c>
      <c r="F5307">
        <v>-1733.97</v>
      </c>
    </row>
    <row r="5308" spans="1:6" hidden="1" x14ac:dyDescent="0.25">
      <c r="A5308" t="s">
        <v>664</v>
      </c>
      <c r="B5308" t="s">
        <v>25</v>
      </c>
      <c r="E5308" s="3">
        <f>HYPERLINK("https://sao.dolgi.msk.ru/account/1404109963/", 1404109963)</f>
        <v>1404109963</v>
      </c>
      <c r="F5308">
        <v>-2922.42</v>
      </c>
    </row>
    <row r="5309" spans="1:6" hidden="1" x14ac:dyDescent="0.25">
      <c r="A5309" t="s">
        <v>664</v>
      </c>
      <c r="B5309" t="s">
        <v>26</v>
      </c>
      <c r="E5309" s="3">
        <f>HYPERLINK("https://sao.dolgi.msk.ru/account/1404110745/", 1404110745)</f>
        <v>1404110745</v>
      </c>
      <c r="F5309">
        <v>-1898.54</v>
      </c>
    </row>
    <row r="5310" spans="1:6" hidden="1" x14ac:dyDescent="0.25">
      <c r="A5310" t="s">
        <v>664</v>
      </c>
      <c r="B5310" t="s">
        <v>27</v>
      </c>
      <c r="E5310" s="3">
        <f>HYPERLINK("https://sao.dolgi.msk.ru/account/1404109568/", 1404109568)</f>
        <v>1404109568</v>
      </c>
      <c r="F5310">
        <v>-925.1</v>
      </c>
    </row>
    <row r="5311" spans="1:6" hidden="1" x14ac:dyDescent="0.25">
      <c r="A5311" t="s">
        <v>664</v>
      </c>
      <c r="B5311" t="s">
        <v>28</v>
      </c>
      <c r="E5311" s="3">
        <f>HYPERLINK("https://sao.dolgi.msk.ru/account/1404109576/", 1404109576)</f>
        <v>1404109576</v>
      </c>
      <c r="F5311">
        <v>-5107.91</v>
      </c>
    </row>
    <row r="5312" spans="1:6" hidden="1" x14ac:dyDescent="0.25">
      <c r="A5312" t="s">
        <v>664</v>
      </c>
      <c r="B5312" t="s">
        <v>29</v>
      </c>
      <c r="E5312" s="3">
        <f>HYPERLINK("https://sao.dolgi.msk.ru/account/1404109584/", 1404109584)</f>
        <v>1404109584</v>
      </c>
      <c r="F5312">
        <v>-3215.3</v>
      </c>
    </row>
    <row r="5313" spans="1:6" hidden="1" x14ac:dyDescent="0.25">
      <c r="A5313" t="s">
        <v>664</v>
      </c>
      <c r="B5313" t="s">
        <v>30</v>
      </c>
      <c r="E5313" s="3">
        <f>HYPERLINK("https://sao.dolgi.msk.ru/account/1404109103/", 1404109103)</f>
        <v>1404109103</v>
      </c>
      <c r="F5313">
        <v>-4095.86</v>
      </c>
    </row>
    <row r="5314" spans="1:6" hidden="1" x14ac:dyDescent="0.25">
      <c r="A5314" t="s">
        <v>664</v>
      </c>
      <c r="B5314" t="s">
        <v>31</v>
      </c>
      <c r="E5314" s="3">
        <f>HYPERLINK("https://sao.dolgi.msk.ru/account/1404111764/", 1404111764)</f>
        <v>1404111764</v>
      </c>
      <c r="F5314">
        <v>0</v>
      </c>
    </row>
    <row r="5315" spans="1:6" hidden="1" x14ac:dyDescent="0.25">
      <c r="A5315" t="s">
        <v>664</v>
      </c>
      <c r="B5315" t="s">
        <v>32</v>
      </c>
      <c r="E5315" s="3">
        <f>HYPERLINK("https://sao.dolgi.msk.ru/account/1404110753/", 1404110753)</f>
        <v>1404110753</v>
      </c>
      <c r="F5315">
        <v>0</v>
      </c>
    </row>
    <row r="5316" spans="1:6" hidden="1" x14ac:dyDescent="0.25">
      <c r="A5316" t="s">
        <v>664</v>
      </c>
      <c r="B5316" t="s">
        <v>33</v>
      </c>
      <c r="E5316" s="3">
        <f>HYPERLINK("https://sao.dolgi.msk.ru/account/1404111473/", 1404111473)</f>
        <v>1404111473</v>
      </c>
      <c r="F5316">
        <v>-2590.9299999999998</v>
      </c>
    </row>
    <row r="5317" spans="1:6" hidden="1" x14ac:dyDescent="0.25">
      <c r="A5317" t="s">
        <v>664</v>
      </c>
      <c r="B5317" t="s">
        <v>34</v>
      </c>
      <c r="E5317" s="3">
        <f>HYPERLINK("https://sao.dolgi.msk.ru/account/1404110323/", 1404110323)</f>
        <v>1404110323</v>
      </c>
      <c r="F5317">
        <v>-1038.48</v>
      </c>
    </row>
    <row r="5318" spans="1:6" hidden="1" x14ac:dyDescent="0.25">
      <c r="A5318" t="s">
        <v>664</v>
      </c>
      <c r="B5318" t="s">
        <v>35</v>
      </c>
      <c r="E5318" s="3">
        <f>HYPERLINK("https://sao.dolgi.msk.ru/account/1404110331/", 1404110331)</f>
        <v>1404110331</v>
      </c>
      <c r="F5318">
        <v>-6217.96</v>
      </c>
    </row>
    <row r="5319" spans="1:6" hidden="1" x14ac:dyDescent="0.25">
      <c r="A5319" t="s">
        <v>664</v>
      </c>
      <c r="B5319" t="s">
        <v>36</v>
      </c>
      <c r="E5319" s="3">
        <f>HYPERLINK("https://sao.dolgi.msk.ru/account/1404111115/", 1404111115)</f>
        <v>1404111115</v>
      </c>
      <c r="F5319">
        <v>-646.65</v>
      </c>
    </row>
    <row r="5320" spans="1:6" hidden="1" x14ac:dyDescent="0.25">
      <c r="A5320" t="s">
        <v>664</v>
      </c>
      <c r="B5320" t="s">
        <v>37</v>
      </c>
      <c r="E5320" s="3">
        <f>HYPERLINK("https://sao.dolgi.msk.ru/account/1404110761/", 1404110761)</f>
        <v>1404110761</v>
      </c>
      <c r="F5320">
        <v>-3113.42</v>
      </c>
    </row>
    <row r="5321" spans="1:6" hidden="1" x14ac:dyDescent="0.25">
      <c r="A5321" t="s">
        <v>664</v>
      </c>
      <c r="B5321" t="s">
        <v>38</v>
      </c>
      <c r="E5321" s="3">
        <f>HYPERLINK("https://sao.dolgi.msk.ru/account/1404109971/", 1404109971)</f>
        <v>1404109971</v>
      </c>
      <c r="F5321">
        <v>-5179.95</v>
      </c>
    </row>
    <row r="5322" spans="1:6" hidden="1" x14ac:dyDescent="0.25">
      <c r="A5322" t="s">
        <v>664</v>
      </c>
      <c r="B5322" t="s">
        <v>39</v>
      </c>
      <c r="E5322" s="3">
        <f>HYPERLINK("https://sao.dolgi.msk.ru/account/1404111799/", 1404111799)</f>
        <v>1404111799</v>
      </c>
      <c r="F5322">
        <v>-263.11</v>
      </c>
    </row>
    <row r="5323" spans="1:6" hidden="1" x14ac:dyDescent="0.25">
      <c r="A5323" t="s">
        <v>664</v>
      </c>
      <c r="B5323" t="s">
        <v>40</v>
      </c>
      <c r="E5323" s="3">
        <f>HYPERLINK("https://sao.dolgi.msk.ru/account/1404109592/", 1404109592)</f>
        <v>1404109592</v>
      </c>
      <c r="F5323">
        <v>-4102.37</v>
      </c>
    </row>
    <row r="5324" spans="1:6" hidden="1" x14ac:dyDescent="0.25">
      <c r="A5324" t="s">
        <v>664</v>
      </c>
      <c r="B5324" t="s">
        <v>41</v>
      </c>
      <c r="E5324" s="3">
        <f>HYPERLINK("https://sao.dolgi.msk.ru/account/1404109111/", 1404109111)</f>
        <v>1404109111</v>
      </c>
      <c r="F5324">
        <v>-3757.5</v>
      </c>
    </row>
    <row r="5325" spans="1:6" hidden="1" x14ac:dyDescent="0.25">
      <c r="A5325" t="s">
        <v>664</v>
      </c>
      <c r="B5325" t="s">
        <v>42</v>
      </c>
      <c r="E5325" s="3">
        <f>HYPERLINK("https://sao.dolgi.msk.ru/account/1404110788/", 1404110788)</f>
        <v>1404110788</v>
      </c>
      <c r="F5325">
        <v>-3673.09</v>
      </c>
    </row>
    <row r="5326" spans="1:6" hidden="1" x14ac:dyDescent="0.25">
      <c r="A5326" t="s">
        <v>664</v>
      </c>
      <c r="B5326" t="s">
        <v>43</v>
      </c>
      <c r="E5326" s="3">
        <f>HYPERLINK("https://sao.dolgi.msk.ru/account/1404111801/", 1404111801)</f>
        <v>1404111801</v>
      </c>
      <c r="F5326">
        <v>-3670.34</v>
      </c>
    </row>
    <row r="5327" spans="1:6" hidden="1" x14ac:dyDescent="0.25">
      <c r="A5327" t="s">
        <v>664</v>
      </c>
      <c r="B5327" t="s">
        <v>44</v>
      </c>
      <c r="E5327" s="3">
        <f>HYPERLINK("https://sao.dolgi.msk.ru/account/1404109613/", 1404109613)</f>
        <v>1404109613</v>
      </c>
      <c r="F5327">
        <v>-5775.07</v>
      </c>
    </row>
    <row r="5328" spans="1:6" hidden="1" x14ac:dyDescent="0.25">
      <c r="A5328" t="s">
        <v>664</v>
      </c>
      <c r="B5328" t="s">
        <v>45</v>
      </c>
      <c r="E5328" s="3">
        <f>HYPERLINK("https://sao.dolgi.msk.ru/account/1404109621/", 1404109621)</f>
        <v>1404109621</v>
      </c>
      <c r="F5328">
        <v>-4707.22</v>
      </c>
    </row>
    <row r="5329" spans="1:6" hidden="1" x14ac:dyDescent="0.25">
      <c r="A5329" t="s">
        <v>664</v>
      </c>
      <c r="B5329" t="s">
        <v>46</v>
      </c>
      <c r="E5329" s="3">
        <f>HYPERLINK("https://sao.dolgi.msk.ru/account/1404110796/", 1404110796)</f>
        <v>1404110796</v>
      </c>
      <c r="F5329">
        <v>-3356.74</v>
      </c>
    </row>
    <row r="5330" spans="1:6" hidden="1" x14ac:dyDescent="0.25">
      <c r="A5330" t="s">
        <v>664</v>
      </c>
      <c r="B5330" t="s">
        <v>47</v>
      </c>
      <c r="E5330" s="3">
        <f>HYPERLINK("https://sao.dolgi.msk.ru/account/1404110358/", 1404110358)</f>
        <v>1404110358</v>
      </c>
      <c r="F5330">
        <v>0</v>
      </c>
    </row>
    <row r="5331" spans="1:6" hidden="1" x14ac:dyDescent="0.25">
      <c r="A5331" t="s">
        <v>664</v>
      </c>
      <c r="B5331" t="s">
        <v>48</v>
      </c>
      <c r="E5331" s="3">
        <f>HYPERLINK("https://sao.dolgi.msk.ru/account/1404109998/", 1404109998)</f>
        <v>1404109998</v>
      </c>
      <c r="F5331">
        <v>-3973.08</v>
      </c>
    </row>
    <row r="5332" spans="1:6" hidden="1" x14ac:dyDescent="0.25">
      <c r="A5332" t="s">
        <v>664</v>
      </c>
      <c r="B5332" t="s">
        <v>49</v>
      </c>
      <c r="E5332" s="3">
        <f>HYPERLINK("https://sao.dolgi.msk.ru/account/1404111828/", 1404111828)</f>
        <v>1404111828</v>
      </c>
      <c r="F5332">
        <v>0</v>
      </c>
    </row>
    <row r="5333" spans="1:6" hidden="1" x14ac:dyDescent="0.25">
      <c r="A5333" t="s">
        <v>664</v>
      </c>
      <c r="B5333" t="s">
        <v>50</v>
      </c>
      <c r="E5333" s="3">
        <f>HYPERLINK("https://sao.dolgi.msk.ru/account/1404110366/", 1404110366)</f>
        <v>1404110366</v>
      </c>
      <c r="F5333">
        <v>-3278.26</v>
      </c>
    </row>
    <row r="5334" spans="1:6" hidden="1" x14ac:dyDescent="0.25">
      <c r="A5334" t="s">
        <v>664</v>
      </c>
      <c r="B5334" t="s">
        <v>51</v>
      </c>
      <c r="E5334" s="3">
        <f>HYPERLINK("https://sao.dolgi.msk.ru/account/1404110008/", 1404110008)</f>
        <v>1404110008</v>
      </c>
      <c r="F5334">
        <v>-6197.8</v>
      </c>
    </row>
    <row r="5335" spans="1:6" x14ac:dyDescent="0.25">
      <c r="A5335" t="s">
        <v>664</v>
      </c>
      <c r="B5335" t="s">
        <v>52</v>
      </c>
      <c r="C5335" s="5" t="str">
        <f t="shared" ref="C5335:C5336" si="252">" кв. "&amp;B5335</f>
        <v xml:space="preserve"> кв. 48</v>
      </c>
      <c r="D5335" s="5" t="str">
        <f>CONCATENATE(A5335,C5335)</f>
        <v>Ленинградское шоссе, дом 92/1 кв. 48</v>
      </c>
      <c r="E5335" s="3">
        <f>HYPERLINK("https://sao.dolgi.msk.ru/account/1404110809/", 1404110809)</f>
        <v>1404110809</v>
      </c>
      <c r="F5335">
        <v>26067.64</v>
      </c>
    </row>
    <row r="5336" spans="1:6" x14ac:dyDescent="0.25">
      <c r="A5336" t="s">
        <v>664</v>
      </c>
      <c r="B5336" t="s">
        <v>53</v>
      </c>
      <c r="C5336" s="5" t="str">
        <f t="shared" si="252"/>
        <v xml:space="preserve"> кв. 49</v>
      </c>
      <c r="D5336" s="5" t="str">
        <f>CONCATENATE(A5336,C5336)</f>
        <v>Ленинградское шоссе, дом 92/1 кв. 49</v>
      </c>
      <c r="E5336" s="3">
        <f>HYPERLINK("https://sao.dolgi.msk.ru/account/1404109138/", 1404109138)</f>
        <v>1404109138</v>
      </c>
      <c r="F5336">
        <v>1240.3599999999999</v>
      </c>
    </row>
    <row r="5337" spans="1:6" hidden="1" x14ac:dyDescent="0.25">
      <c r="A5337" t="s">
        <v>664</v>
      </c>
      <c r="B5337" t="s">
        <v>54</v>
      </c>
      <c r="E5337" s="3">
        <f>HYPERLINK("https://sao.dolgi.msk.ru/account/1404110817/", 1404110817)</f>
        <v>1404110817</v>
      </c>
      <c r="F5337">
        <v>-7632.56</v>
      </c>
    </row>
    <row r="5338" spans="1:6" x14ac:dyDescent="0.25">
      <c r="A5338" t="s">
        <v>664</v>
      </c>
      <c r="B5338" t="s">
        <v>55</v>
      </c>
      <c r="C5338" s="5" t="str">
        <f>" кв. "&amp;B5338</f>
        <v xml:space="preserve"> кв. 51</v>
      </c>
      <c r="D5338" s="5" t="str">
        <f>CONCATENATE(A5338,C5338)</f>
        <v>Ленинградское шоссе, дом 92/1 кв. 51</v>
      </c>
      <c r="E5338" s="3">
        <f>HYPERLINK("https://sao.dolgi.msk.ru/account/1404110024/", 1404110024)</f>
        <v>1404110024</v>
      </c>
      <c r="F5338">
        <v>3961.54</v>
      </c>
    </row>
    <row r="5339" spans="1:6" hidden="1" x14ac:dyDescent="0.25">
      <c r="A5339" t="s">
        <v>664</v>
      </c>
      <c r="B5339" t="s">
        <v>56</v>
      </c>
      <c r="E5339" s="3">
        <f>HYPERLINK("https://sao.dolgi.msk.ru/account/1404111123/", 1404111123)</f>
        <v>1404111123</v>
      </c>
      <c r="F5339">
        <v>-3060.93</v>
      </c>
    </row>
    <row r="5340" spans="1:6" hidden="1" x14ac:dyDescent="0.25">
      <c r="A5340" t="s">
        <v>664</v>
      </c>
      <c r="B5340" t="s">
        <v>57</v>
      </c>
      <c r="E5340" s="3">
        <f>HYPERLINK("https://sao.dolgi.msk.ru/account/1404110032/", 1404110032)</f>
        <v>1404110032</v>
      </c>
      <c r="F5340">
        <v>-3543.45</v>
      </c>
    </row>
    <row r="5341" spans="1:6" hidden="1" x14ac:dyDescent="0.25">
      <c r="A5341" t="s">
        <v>664</v>
      </c>
      <c r="B5341" t="s">
        <v>58</v>
      </c>
      <c r="E5341" s="3">
        <f>HYPERLINK("https://sao.dolgi.msk.ru/account/1404110155/", 1404110155)</f>
        <v>1404110155</v>
      </c>
      <c r="F5341">
        <v>-1650.73</v>
      </c>
    </row>
    <row r="5342" spans="1:6" hidden="1" x14ac:dyDescent="0.25">
      <c r="A5342" t="s">
        <v>664</v>
      </c>
      <c r="B5342" t="s">
        <v>58</v>
      </c>
      <c r="E5342" s="3">
        <f>HYPERLINK("https://sao.dolgi.msk.ru/account/1404110374/", 1404110374)</f>
        <v>1404110374</v>
      </c>
      <c r="F5342">
        <v>-1609.17</v>
      </c>
    </row>
    <row r="5343" spans="1:6" hidden="1" x14ac:dyDescent="0.25">
      <c r="A5343" t="s">
        <v>664</v>
      </c>
      <c r="B5343" t="s">
        <v>59</v>
      </c>
      <c r="E5343" s="3">
        <f>HYPERLINK("https://sao.dolgi.msk.ru/account/1404109146/", 1404109146)</f>
        <v>1404109146</v>
      </c>
      <c r="F5343">
        <v>0</v>
      </c>
    </row>
    <row r="5344" spans="1:6" hidden="1" x14ac:dyDescent="0.25">
      <c r="A5344" t="s">
        <v>664</v>
      </c>
      <c r="B5344" t="s">
        <v>60</v>
      </c>
      <c r="E5344" s="3">
        <f>HYPERLINK("https://sao.dolgi.msk.ru/account/1404109648/", 1404109648)</f>
        <v>1404109648</v>
      </c>
      <c r="F5344">
        <v>0</v>
      </c>
    </row>
    <row r="5345" spans="1:6" hidden="1" x14ac:dyDescent="0.25">
      <c r="A5345" t="s">
        <v>664</v>
      </c>
      <c r="B5345" t="s">
        <v>61</v>
      </c>
      <c r="E5345" s="3">
        <f>HYPERLINK("https://sao.dolgi.msk.ru/account/1404109656/", 1404109656)</f>
        <v>1404109656</v>
      </c>
      <c r="F5345">
        <v>0</v>
      </c>
    </row>
    <row r="5346" spans="1:6" hidden="1" x14ac:dyDescent="0.25">
      <c r="A5346" t="s">
        <v>664</v>
      </c>
      <c r="B5346" t="s">
        <v>62</v>
      </c>
      <c r="E5346" s="3">
        <f>HYPERLINK("https://sao.dolgi.msk.ru/account/1404110059/", 1404110059)</f>
        <v>1404110059</v>
      </c>
      <c r="F5346">
        <v>0</v>
      </c>
    </row>
    <row r="5347" spans="1:6" hidden="1" x14ac:dyDescent="0.25">
      <c r="A5347" t="s">
        <v>664</v>
      </c>
      <c r="B5347" t="s">
        <v>63</v>
      </c>
      <c r="E5347" s="3">
        <f>HYPERLINK("https://sao.dolgi.msk.ru/account/1404111131/", 1404111131)</f>
        <v>1404111131</v>
      </c>
      <c r="F5347">
        <v>-6764.06</v>
      </c>
    </row>
    <row r="5348" spans="1:6" hidden="1" x14ac:dyDescent="0.25">
      <c r="A5348" t="s">
        <v>664</v>
      </c>
      <c r="B5348" t="s">
        <v>64</v>
      </c>
      <c r="E5348" s="3">
        <f>HYPERLINK("https://sao.dolgi.msk.ru/account/1404110067/", 1404110067)</f>
        <v>1404110067</v>
      </c>
      <c r="F5348">
        <v>-5661.43</v>
      </c>
    </row>
    <row r="5349" spans="1:6" hidden="1" x14ac:dyDescent="0.25">
      <c r="A5349" t="s">
        <v>664</v>
      </c>
      <c r="B5349" t="s">
        <v>65</v>
      </c>
      <c r="E5349" s="3">
        <f>HYPERLINK("https://sao.dolgi.msk.ru/account/1404109664/", 1404109664)</f>
        <v>1404109664</v>
      </c>
      <c r="F5349">
        <v>0</v>
      </c>
    </row>
    <row r="5350" spans="1:6" hidden="1" x14ac:dyDescent="0.25">
      <c r="A5350" t="s">
        <v>664</v>
      </c>
      <c r="B5350" t="s">
        <v>66</v>
      </c>
      <c r="E5350" s="3">
        <f>HYPERLINK("https://sao.dolgi.msk.ru/account/1404109672/", 1404109672)</f>
        <v>1404109672</v>
      </c>
      <c r="F5350">
        <v>-6259.83</v>
      </c>
    </row>
    <row r="5351" spans="1:6" x14ac:dyDescent="0.25">
      <c r="A5351" t="s">
        <v>664</v>
      </c>
      <c r="B5351" t="s">
        <v>67</v>
      </c>
      <c r="C5351" s="5" t="str">
        <f>" кв. "&amp;B5351</f>
        <v xml:space="preserve"> кв. 63</v>
      </c>
      <c r="D5351" s="5" t="str">
        <f>CONCATENATE(A5351,C5351)</f>
        <v>Ленинградское шоссе, дом 92/1 кв. 63</v>
      </c>
      <c r="E5351" s="3">
        <f>HYPERLINK("https://sao.dolgi.msk.ru/account/1404109154/", 1404109154)</f>
        <v>1404109154</v>
      </c>
      <c r="F5351">
        <v>4198.18</v>
      </c>
    </row>
    <row r="5352" spans="1:6" hidden="1" x14ac:dyDescent="0.25">
      <c r="A5352" t="s">
        <v>664</v>
      </c>
      <c r="B5352" t="s">
        <v>68</v>
      </c>
      <c r="E5352" s="3">
        <f>HYPERLINK("https://sao.dolgi.msk.ru/account/1404111158/", 1404111158)</f>
        <v>1404111158</v>
      </c>
      <c r="F5352">
        <v>0</v>
      </c>
    </row>
    <row r="5353" spans="1:6" x14ac:dyDescent="0.25">
      <c r="A5353" t="s">
        <v>664</v>
      </c>
      <c r="B5353" t="s">
        <v>69</v>
      </c>
      <c r="C5353" s="5" t="str">
        <f>" кв. "&amp;B5353</f>
        <v xml:space="preserve"> кв. 65</v>
      </c>
      <c r="D5353" s="5" t="str">
        <f>CONCATENATE(A5353,C5353)</f>
        <v>Ленинградское шоссе, дом 92/1 кв. 65</v>
      </c>
      <c r="E5353" s="3">
        <f>HYPERLINK("https://sao.dolgi.msk.ru/account/1404110075/", 1404110075)</f>
        <v>1404110075</v>
      </c>
      <c r="F5353">
        <v>11756.45</v>
      </c>
    </row>
    <row r="5354" spans="1:6" hidden="1" x14ac:dyDescent="0.25">
      <c r="A5354" t="s">
        <v>664</v>
      </c>
      <c r="B5354" t="s">
        <v>70</v>
      </c>
      <c r="E5354" s="3">
        <f>HYPERLINK("https://sao.dolgi.msk.ru/account/1404109699/", 1404109699)</f>
        <v>1404109699</v>
      </c>
      <c r="F5354">
        <v>-1765.46</v>
      </c>
    </row>
    <row r="5355" spans="1:6" x14ac:dyDescent="0.25">
      <c r="A5355" t="s">
        <v>664</v>
      </c>
      <c r="B5355" t="s">
        <v>71</v>
      </c>
      <c r="C5355" s="5" t="str">
        <f t="shared" ref="C5355:C5356" si="253">" кв. "&amp;B5355</f>
        <v xml:space="preserve"> кв. 67</v>
      </c>
      <c r="D5355" s="5" t="str">
        <f>CONCATENATE(A5355,C5355)</f>
        <v>Ленинградское шоссе, дом 92/1 кв. 67</v>
      </c>
      <c r="E5355" s="3">
        <f>HYPERLINK("https://sao.dolgi.msk.ru/account/1404109701/", 1404109701)</f>
        <v>1404109701</v>
      </c>
      <c r="F5355">
        <v>4267.25</v>
      </c>
    </row>
    <row r="5356" spans="1:6" x14ac:dyDescent="0.25">
      <c r="A5356" t="s">
        <v>664</v>
      </c>
      <c r="B5356" t="s">
        <v>72</v>
      </c>
      <c r="C5356" s="5" t="str">
        <f t="shared" si="253"/>
        <v xml:space="preserve"> кв. 68</v>
      </c>
      <c r="D5356" s="5" t="str">
        <f>CONCATENATE(A5356,C5356)</f>
        <v>Ленинградское шоссе, дом 92/1 кв. 68</v>
      </c>
      <c r="E5356" s="3">
        <f>HYPERLINK("https://sao.dolgi.msk.ru/account/1404110833/", 1404110833)</f>
        <v>1404110833</v>
      </c>
      <c r="F5356">
        <v>3758.81</v>
      </c>
    </row>
    <row r="5357" spans="1:6" hidden="1" x14ac:dyDescent="0.25">
      <c r="A5357" t="s">
        <v>664</v>
      </c>
      <c r="B5357" t="s">
        <v>73</v>
      </c>
      <c r="E5357" s="3">
        <f>HYPERLINK("https://sao.dolgi.msk.ru/account/1404109162/", 1404109162)</f>
        <v>1404109162</v>
      </c>
      <c r="F5357">
        <v>-405.85</v>
      </c>
    </row>
    <row r="5358" spans="1:6" hidden="1" x14ac:dyDescent="0.25">
      <c r="A5358" t="s">
        <v>664</v>
      </c>
      <c r="B5358" t="s">
        <v>74</v>
      </c>
      <c r="E5358" s="3">
        <f>HYPERLINK("https://sao.dolgi.msk.ru/account/1404111166/", 1404111166)</f>
        <v>1404111166</v>
      </c>
      <c r="F5358">
        <v>-3632.99</v>
      </c>
    </row>
    <row r="5359" spans="1:6" hidden="1" x14ac:dyDescent="0.25">
      <c r="A5359" t="s">
        <v>664</v>
      </c>
      <c r="B5359" t="s">
        <v>75</v>
      </c>
      <c r="E5359" s="3">
        <f>HYPERLINK("https://sao.dolgi.msk.ru/account/1404110841/", 1404110841)</f>
        <v>1404110841</v>
      </c>
      <c r="F5359">
        <v>-4981.2</v>
      </c>
    </row>
    <row r="5360" spans="1:6" hidden="1" x14ac:dyDescent="0.25">
      <c r="A5360" t="s">
        <v>664</v>
      </c>
      <c r="B5360" t="s">
        <v>76</v>
      </c>
      <c r="E5360" s="3">
        <f>HYPERLINK("https://sao.dolgi.msk.ru/account/1404111174/", 1404111174)</f>
        <v>1404111174</v>
      </c>
      <c r="F5360">
        <v>-86779.69</v>
      </c>
    </row>
    <row r="5361" spans="1:6" hidden="1" x14ac:dyDescent="0.25">
      <c r="A5361" t="s">
        <v>664</v>
      </c>
      <c r="B5361" t="s">
        <v>76</v>
      </c>
      <c r="E5361" s="3">
        <f>HYPERLINK("https://sao.dolgi.msk.ru/account/1404111844/", 1404111844)</f>
        <v>1404111844</v>
      </c>
      <c r="F5361">
        <v>-47848.2</v>
      </c>
    </row>
    <row r="5362" spans="1:6" hidden="1" x14ac:dyDescent="0.25">
      <c r="A5362" t="s">
        <v>664</v>
      </c>
      <c r="B5362" t="s">
        <v>77</v>
      </c>
      <c r="E5362" s="3">
        <f>HYPERLINK("https://sao.dolgi.msk.ru/account/1404110382/", 1404110382)</f>
        <v>1404110382</v>
      </c>
      <c r="F5362">
        <v>0</v>
      </c>
    </row>
    <row r="5363" spans="1:6" hidden="1" x14ac:dyDescent="0.25">
      <c r="A5363" t="s">
        <v>664</v>
      </c>
      <c r="B5363" t="s">
        <v>78</v>
      </c>
      <c r="E5363" s="3">
        <f>HYPERLINK("https://sao.dolgi.msk.ru/account/1404109197/", 1404109197)</f>
        <v>1404109197</v>
      </c>
      <c r="F5363">
        <v>-4878.88</v>
      </c>
    </row>
    <row r="5364" spans="1:6" x14ac:dyDescent="0.25">
      <c r="A5364" t="s">
        <v>664</v>
      </c>
      <c r="B5364" t="s">
        <v>79</v>
      </c>
      <c r="C5364" s="5" t="str">
        <f>" кв. "&amp;B5364</f>
        <v xml:space="preserve"> кв. 75</v>
      </c>
      <c r="D5364" s="5" t="str">
        <f>CONCATENATE(A5364,C5364)</f>
        <v>Ленинградское шоссе, дом 92/1 кв. 75</v>
      </c>
      <c r="E5364" s="3">
        <f>HYPERLINK("https://sao.dolgi.msk.ru/account/1404111182/", 1404111182)</f>
        <v>1404111182</v>
      </c>
      <c r="F5364">
        <v>19416.98</v>
      </c>
    </row>
    <row r="5365" spans="1:6" hidden="1" x14ac:dyDescent="0.25">
      <c r="A5365" t="s">
        <v>664</v>
      </c>
      <c r="B5365" t="s">
        <v>80</v>
      </c>
      <c r="E5365" s="3">
        <f>HYPERLINK("https://sao.dolgi.msk.ru/account/1404110868/", 1404110868)</f>
        <v>1404110868</v>
      </c>
      <c r="F5365">
        <v>-25197.200000000001</v>
      </c>
    </row>
    <row r="5366" spans="1:6" hidden="1" x14ac:dyDescent="0.25">
      <c r="A5366" t="s">
        <v>664</v>
      </c>
      <c r="B5366" t="s">
        <v>81</v>
      </c>
      <c r="E5366" s="3">
        <f>HYPERLINK("https://sao.dolgi.msk.ru/account/1404111203/", 1404111203)</f>
        <v>1404111203</v>
      </c>
      <c r="F5366">
        <v>-2217.56</v>
      </c>
    </row>
    <row r="5367" spans="1:6" hidden="1" x14ac:dyDescent="0.25">
      <c r="A5367" t="s">
        <v>664</v>
      </c>
      <c r="B5367" t="s">
        <v>82</v>
      </c>
      <c r="E5367" s="3">
        <f>HYPERLINK("https://sao.dolgi.msk.ru/account/1404109218/", 1404109218)</f>
        <v>1404109218</v>
      </c>
      <c r="F5367">
        <v>-3615.98</v>
      </c>
    </row>
    <row r="5368" spans="1:6" hidden="1" x14ac:dyDescent="0.25">
      <c r="A5368" t="s">
        <v>664</v>
      </c>
      <c r="B5368" t="s">
        <v>83</v>
      </c>
      <c r="E5368" s="3">
        <f>HYPERLINK("https://sao.dolgi.msk.ru/account/1404110876/", 1404110876)</f>
        <v>1404110876</v>
      </c>
      <c r="F5368">
        <v>-5863.61</v>
      </c>
    </row>
    <row r="5369" spans="1:6" hidden="1" x14ac:dyDescent="0.25">
      <c r="A5369" t="s">
        <v>664</v>
      </c>
      <c r="B5369" t="s">
        <v>84</v>
      </c>
      <c r="E5369" s="3">
        <f>HYPERLINK("https://sao.dolgi.msk.ru/account/1404110884/", 1404110884)</f>
        <v>1404110884</v>
      </c>
      <c r="F5369">
        <v>-3246.1</v>
      </c>
    </row>
    <row r="5370" spans="1:6" x14ac:dyDescent="0.25">
      <c r="A5370" t="s">
        <v>664</v>
      </c>
      <c r="B5370" t="s">
        <v>85</v>
      </c>
      <c r="C5370" s="5" t="str">
        <f t="shared" ref="C5370:C5371" si="254">" кв. "&amp;B5370</f>
        <v xml:space="preserve"> кв. 81</v>
      </c>
      <c r="D5370" s="5" t="str">
        <f>CONCATENATE(A5370,C5370)</f>
        <v>Ленинградское шоссе, дом 92/1 кв. 81</v>
      </c>
      <c r="E5370" s="3">
        <f>HYPERLINK("https://sao.dolgi.msk.ru/account/1404110083/", 1404110083)</f>
        <v>1404110083</v>
      </c>
      <c r="F5370">
        <v>15999.01</v>
      </c>
    </row>
    <row r="5371" spans="1:6" x14ac:dyDescent="0.25">
      <c r="A5371" t="s">
        <v>664</v>
      </c>
      <c r="B5371" t="s">
        <v>86</v>
      </c>
      <c r="C5371" s="5" t="str">
        <f t="shared" si="254"/>
        <v xml:space="preserve"> кв. 82</v>
      </c>
      <c r="D5371" s="5" t="str">
        <f>CONCATENATE(A5371,C5371)</f>
        <v>Ленинградское шоссе, дом 92/1 кв. 82</v>
      </c>
      <c r="E5371" s="3">
        <f>HYPERLINK("https://sao.dolgi.msk.ru/account/1404109728/", 1404109728)</f>
        <v>1404109728</v>
      </c>
      <c r="F5371">
        <v>12018.18</v>
      </c>
    </row>
    <row r="5372" spans="1:6" hidden="1" x14ac:dyDescent="0.25">
      <c r="A5372" t="s">
        <v>664</v>
      </c>
      <c r="B5372" t="s">
        <v>87</v>
      </c>
      <c r="E5372" s="3">
        <f>HYPERLINK("https://sao.dolgi.msk.ru/account/1404110091/", 1404110091)</f>
        <v>1404110091</v>
      </c>
      <c r="F5372">
        <v>0</v>
      </c>
    </row>
    <row r="5373" spans="1:6" hidden="1" x14ac:dyDescent="0.25">
      <c r="A5373" t="s">
        <v>664</v>
      </c>
      <c r="B5373" t="s">
        <v>88</v>
      </c>
      <c r="E5373" s="3">
        <f>HYPERLINK("https://sao.dolgi.msk.ru/account/1404109226/", 1404109226)</f>
        <v>1404109226</v>
      </c>
      <c r="F5373">
        <v>-5285.09</v>
      </c>
    </row>
    <row r="5374" spans="1:6" hidden="1" x14ac:dyDescent="0.25">
      <c r="A5374" t="s">
        <v>664</v>
      </c>
      <c r="B5374" t="s">
        <v>89</v>
      </c>
      <c r="E5374" s="3">
        <f>HYPERLINK("https://sao.dolgi.msk.ru/account/1404111211/", 1404111211)</f>
        <v>1404111211</v>
      </c>
      <c r="F5374">
        <v>-4246.45</v>
      </c>
    </row>
    <row r="5375" spans="1:6" x14ac:dyDescent="0.25">
      <c r="A5375" t="s">
        <v>664</v>
      </c>
      <c r="B5375" t="s">
        <v>90</v>
      </c>
      <c r="C5375" s="5" t="str">
        <f>" кв. "&amp;B5375</f>
        <v xml:space="preserve"> кв. 86</v>
      </c>
      <c r="D5375" s="5" t="str">
        <f>CONCATENATE(A5375,C5375)</f>
        <v>Ленинградское шоссе, дом 92/1 кв. 86</v>
      </c>
      <c r="E5375" s="3">
        <f>HYPERLINK("https://sao.dolgi.msk.ru/account/1404110403/", 1404110403)</f>
        <v>1404110403</v>
      </c>
      <c r="F5375">
        <v>165730.88</v>
      </c>
    </row>
    <row r="5376" spans="1:6" hidden="1" x14ac:dyDescent="0.25">
      <c r="A5376" t="s">
        <v>664</v>
      </c>
      <c r="B5376" t="s">
        <v>91</v>
      </c>
      <c r="E5376" s="3">
        <f>HYPERLINK("https://sao.dolgi.msk.ru/account/1404110411/", 1404110411)</f>
        <v>1404110411</v>
      </c>
      <c r="F5376">
        <v>-7498</v>
      </c>
    </row>
    <row r="5377" spans="1:6" hidden="1" x14ac:dyDescent="0.25">
      <c r="A5377" t="s">
        <v>664</v>
      </c>
      <c r="B5377" t="s">
        <v>92</v>
      </c>
      <c r="E5377" s="3">
        <f>HYPERLINK("https://sao.dolgi.msk.ru/account/1404110104/", 1404110104)</f>
        <v>1404110104</v>
      </c>
      <c r="F5377">
        <v>-2305.5300000000002</v>
      </c>
    </row>
    <row r="5378" spans="1:6" hidden="1" x14ac:dyDescent="0.25">
      <c r="A5378" t="s">
        <v>664</v>
      </c>
      <c r="B5378" t="s">
        <v>93</v>
      </c>
      <c r="E5378" s="3">
        <f>HYPERLINK("https://sao.dolgi.msk.ru/account/1404110112/", 1404110112)</f>
        <v>1404110112</v>
      </c>
      <c r="F5378">
        <v>-6004.31</v>
      </c>
    </row>
    <row r="5379" spans="1:6" x14ac:dyDescent="0.25">
      <c r="A5379" t="s">
        <v>664</v>
      </c>
      <c r="B5379" t="s">
        <v>94</v>
      </c>
      <c r="C5379" s="5" t="str">
        <f>" кв. "&amp;B5379</f>
        <v xml:space="preserve"> кв. 90</v>
      </c>
      <c r="D5379" s="5" t="str">
        <f>CONCATENATE(A5379,C5379)</f>
        <v>Ленинградское шоссе, дом 92/1 кв. 90</v>
      </c>
      <c r="E5379" s="3">
        <f>HYPERLINK("https://sao.dolgi.msk.ru/account/1404109736/", 1404109736)</f>
        <v>1404109736</v>
      </c>
      <c r="F5379">
        <v>159085.96</v>
      </c>
    </row>
    <row r="5380" spans="1:6" hidden="1" x14ac:dyDescent="0.25">
      <c r="A5380" t="s">
        <v>664</v>
      </c>
      <c r="B5380" t="s">
        <v>95</v>
      </c>
      <c r="E5380" s="3">
        <f>HYPERLINK("https://sao.dolgi.msk.ru/account/1404109234/", 1404109234)</f>
        <v>1404109234</v>
      </c>
      <c r="F5380">
        <v>-8667.75</v>
      </c>
    </row>
    <row r="5381" spans="1:6" hidden="1" x14ac:dyDescent="0.25">
      <c r="A5381" t="s">
        <v>664</v>
      </c>
      <c r="B5381" t="s">
        <v>96</v>
      </c>
      <c r="E5381" s="3">
        <f>HYPERLINK("https://sao.dolgi.msk.ru/account/1404111537/", 1404111537)</f>
        <v>1404111537</v>
      </c>
      <c r="F5381">
        <v>-5234.7700000000004</v>
      </c>
    </row>
    <row r="5382" spans="1:6" hidden="1" x14ac:dyDescent="0.25">
      <c r="A5382" t="s">
        <v>664</v>
      </c>
      <c r="B5382" t="s">
        <v>97</v>
      </c>
      <c r="E5382" s="3">
        <f>HYPERLINK("https://sao.dolgi.msk.ru/account/1404110438/", 1404110438)</f>
        <v>1404110438</v>
      </c>
      <c r="F5382">
        <v>0</v>
      </c>
    </row>
    <row r="5383" spans="1:6" hidden="1" x14ac:dyDescent="0.25">
      <c r="A5383" t="s">
        <v>664</v>
      </c>
      <c r="B5383" t="s">
        <v>98</v>
      </c>
      <c r="E5383" s="3">
        <f>HYPERLINK("https://sao.dolgi.msk.ru/account/1404111238/", 1404111238)</f>
        <v>1404111238</v>
      </c>
      <c r="F5383">
        <v>0</v>
      </c>
    </row>
    <row r="5384" spans="1:6" hidden="1" x14ac:dyDescent="0.25">
      <c r="A5384" t="s">
        <v>664</v>
      </c>
      <c r="B5384" t="s">
        <v>99</v>
      </c>
      <c r="E5384" s="3">
        <f>HYPERLINK("https://sao.dolgi.msk.ru/account/1404110446/", 1404110446)</f>
        <v>1404110446</v>
      </c>
      <c r="F5384">
        <v>0</v>
      </c>
    </row>
    <row r="5385" spans="1:6" hidden="1" x14ac:dyDescent="0.25">
      <c r="A5385" t="s">
        <v>664</v>
      </c>
      <c r="B5385" t="s">
        <v>99</v>
      </c>
      <c r="E5385" s="3">
        <f>HYPERLINK("https://sao.dolgi.msk.ru/account/1404111545/", 1404111545)</f>
        <v>1404111545</v>
      </c>
      <c r="F5385">
        <v>0</v>
      </c>
    </row>
    <row r="5386" spans="1:6" hidden="1" x14ac:dyDescent="0.25">
      <c r="A5386" t="s">
        <v>664</v>
      </c>
      <c r="B5386" t="s">
        <v>100</v>
      </c>
      <c r="E5386" s="3">
        <f>HYPERLINK("https://sao.dolgi.msk.ru/account/1404110139/", 1404110139)</f>
        <v>1404110139</v>
      </c>
      <c r="F5386">
        <v>-4070.49</v>
      </c>
    </row>
    <row r="5387" spans="1:6" hidden="1" x14ac:dyDescent="0.25">
      <c r="A5387" t="s">
        <v>664</v>
      </c>
      <c r="B5387" t="s">
        <v>101</v>
      </c>
      <c r="E5387" s="3">
        <f>HYPERLINK("https://sao.dolgi.msk.ru/account/1404110147/", 1404110147)</f>
        <v>1404110147</v>
      </c>
      <c r="F5387">
        <v>0</v>
      </c>
    </row>
    <row r="5388" spans="1:6" hidden="1" x14ac:dyDescent="0.25">
      <c r="A5388" t="s">
        <v>664</v>
      </c>
      <c r="B5388" t="s">
        <v>102</v>
      </c>
      <c r="E5388" s="3">
        <f>HYPERLINK("https://sao.dolgi.msk.ru/account/1404111836/", 1404111836)</f>
        <v>1404111836</v>
      </c>
      <c r="F5388">
        <v>-6929.64</v>
      </c>
    </row>
    <row r="5389" spans="1:6" hidden="1" x14ac:dyDescent="0.25">
      <c r="A5389" t="s">
        <v>664</v>
      </c>
      <c r="B5389" t="s">
        <v>103</v>
      </c>
      <c r="E5389" s="3">
        <f>HYPERLINK("https://sao.dolgi.msk.ru/account/1404111553/", 1404111553)</f>
        <v>1404111553</v>
      </c>
      <c r="F5389">
        <v>0</v>
      </c>
    </row>
    <row r="5390" spans="1:6" hidden="1" x14ac:dyDescent="0.25">
      <c r="A5390" t="s">
        <v>664</v>
      </c>
      <c r="B5390" t="s">
        <v>104</v>
      </c>
      <c r="E5390" s="3">
        <f>HYPERLINK("https://sao.dolgi.msk.ru/account/1404109445/", 1404109445)</f>
        <v>1404109445</v>
      </c>
      <c r="F5390">
        <v>0</v>
      </c>
    </row>
    <row r="5391" spans="1:6" hidden="1" x14ac:dyDescent="0.25">
      <c r="A5391" t="s">
        <v>664</v>
      </c>
      <c r="B5391" t="s">
        <v>105</v>
      </c>
      <c r="E5391" s="3">
        <f>HYPERLINK("https://sao.dolgi.msk.ru/account/1404109453/", 1404109453)</f>
        <v>1404109453</v>
      </c>
      <c r="F5391">
        <v>-13987.95</v>
      </c>
    </row>
    <row r="5392" spans="1:6" hidden="1" x14ac:dyDescent="0.25">
      <c r="A5392" t="s">
        <v>664</v>
      </c>
      <c r="B5392" t="s">
        <v>106</v>
      </c>
      <c r="E5392" s="3">
        <f>HYPERLINK("https://sao.dolgi.msk.ru/account/1404111078/", 1404111078)</f>
        <v>1404111078</v>
      </c>
      <c r="F5392">
        <v>-5417.27</v>
      </c>
    </row>
    <row r="5393" spans="1:6" hidden="1" x14ac:dyDescent="0.25">
      <c r="A5393" t="s">
        <v>664</v>
      </c>
      <c r="B5393" t="s">
        <v>107</v>
      </c>
      <c r="E5393" s="3">
        <f>HYPERLINK("https://sao.dolgi.msk.ru/account/1404109031/", 1404109031)</f>
        <v>1404109031</v>
      </c>
      <c r="F5393">
        <v>-6709.95</v>
      </c>
    </row>
    <row r="5394" spans="1:6" hidden="1" x14ac:dyDescent="0.25">
      <c r="A5394" t="s">
        <v>664</v>
      </c>
      <c r="B5394" t="s">
        <v>108</v>
      </c>
      <c r="E5394" s="3">
        <f>HYPERLINK("https://sao.dolgi.msk.ru/account/1404109939/", 1404109939)</f>
        <v>1404109939</v>
      </c>
      <c r="F5394">
        <v>-184.36</v>
      </c>
    </row>
    <row r="5395" spans="1:6" hidden="1" x14ac:dyDescent="0.25">
      <c r="A5395" t="s">
        <v>664</v>
      </c>
      <c r="B5395" t="s">
        <v>109</v>
      </c>
      <c r="E5395" s="3">
        <f>HYPERLINK("https://sao.dolgi.msk.ru/account/1404109461/", 1404109461)</f>
        <v>1404109461</v>
      </c>
      <c r="F5395">
        <v>-6540.28</v>
      </c>
    </row>
    <row r="5396" spans="1:6" hidden="1" x14ac:dyDescent="0.25">
      <c r="A5396" t="s">
        <v>664</v>
      </c>
      <c r="B5396" t="s">
        <v>110</v>
      </c>
      <c r="E5396" s="3">
        <f>HYPERLINK("https://sao.dolgi.msk.ru/account/1404111086/", 1404111086)</f>
        <v>1404111086</v>
      </c>
      <c r="F5396">
        <v>-4261.03</v>
      </c>
    </row>
    <row r="5397" spans="1:6" hidden="1" x14ac:dyDescent="0.25">
      <c r="A5397" t="s">
        <v>664</v>
      </c>
      <c r="B5397" t="s">
        <v>111</v>
      </c>
      <c r="E5397" s="3">
        <f>HYPERLINK("https://sao.dolgi.msk.ru/account/1404110649/", 1404110649)</f>
        <v>1404110649</v>
      </c>
      <c r="F5397">
        <v>-2590.21</v>
      </c>
    </row>
    <row r="5398" spans="1:6" hidden="1" x14ac:dyDescent="0.25">
      <c r="A5398" t="s">
        <v>664</v>
      </c>
      <c r="B5398" t="s">
        <v>112</v>
      </c>
      <c r="E5398" s="3">
        <f>HYPERLINK("https://sao.dolgi.msk.ru/account/1404109488/", 1404109488)</f>
        <v>1404109488</v>
      </c>
      <c r="F5398">
        <v>-3244.55</v>
      </c>
    </row>
    <row r="5399" spans="1:6" hidden="1" x14ac:dyDescent="0.25">
      <c r="A5399" t="s">
        <v>664</v>
      </c>
      <c r="B5399" t="s">
        <v>113</v>
      </c>
      <c r="E5399" s="3">
        <f>HYPERLINK("https://sao.dolgi.msk.ru/account/1404110657/", 1404110657)</f>
        <v>1404110657</v>
      </c>
      <c r="F5399">
        <v>-3137.22</v>
      </c>
    </row>
    <row r="5400" spans="1:6" hidden="1" x14ac:dyDescent="0.25">
      <c r="A5400" t="s">
        <v>664</v>
      </c>
      <c r="B5400" t="s">
        <v>114</v>
      </c>
      <c r="E5400" s="3">
        <f>HYPERLINK("https://sao.dolgi.msk.ru/account/1404109066/", 1404109066)</f>
        <v>1404109066</v>
      </c>
      <c r="F5400">
        <v>0</v>
      </c>
    </row>
    <row r="5401" spans="1:6" hidden="1" x14ac:dyDescent="0.25">
      <c r="A5401" t="s">
        <v>664</v>
      </c>
      <c r="B5401" t="s">
        <v>115</v>
      </c>
      <c r="E5401" s="3">
        <f>HYPERLINK("https://sao.dolgi.msk.ru/account/1404109496/", 1404109496)</f>
        <v>1404109496</v>
      </c>
      <c r="F5401">
        <v>-5297.62</v>
      </c>
    </row>
    <row r="5402" spans="1:6" x14ac:dyDescent="0.25">
      <c r="A5402" t="s">
        <v>664</v>
      </c>
      <c r="B5402" t="s">
        <v>116</v>
      </c>
      <c r="C5402" s="5" t="str">
        <f>" кв. "&amp;B5402</f>
        <v xml:space="preserve"> кв. 112</v>
      </c>
      <c r="D5402" s="5" t="str">
        <f>CONCATENATE(A5402,C5402)</f>
        <v>Ленинградское шоссе, дом 92/1 кв. 112</v>
      </c>
      <c r="E5402" s="3">
        <f>HYPERLINK("https://sao.dolgi.msk.ru/account/1404110665/", 1404110665)</f>
        <v>1404110665</v>
      </c>
      <c r="F5402">
        <v>10147.459999999999</v>
      </c>
    </row>
    <row r="5403" spans="1:6" hidden="1" x14ac:dyDescent="0.25">
      <c r="A5403" t="s">
        <v>664</v>
      </c>
      <c r="B5403" t="s">
        <v>117</v>
      </c>
      <c r="E5403" s="3">
        <f>HYPERLINK("https://sao.dolgi.msk.ru/account/1404111393/", 1404111393)</f>
        <v>1404111393</v>
      </c>
      <c r="F5403">
        <v>-4981.1899999999996</v>
      </c>
    </row>
    <row r="5404" spans="1:6" hidden="1" x14ac:dyDescent="0.25">
      <c r="A5404" t="s">
        <v>664</v>
      </c>
      <c r="B5404" t="s">
        <v>118</v>
      </c>
      <c r="E5404" s="3">
        <f>HYPERLINK("https://sao.dolgi.msk.ru/account/1404110673/", 1404110673)</f>
        <v>1404110673</v>
      </c>
      <c r="F5404">
        <v>-4412.0600000000004</v>
      </c>
    </row>
    <row r="5405" spans="1:6" hidden="1" x14ac:dyDescent="0.25">
      <c r="A5405" t="s">
        <v>664</v>
      </c>
      <c r="B5405" t="s">
        <v>119</v>
      </c>
      <c r="E5405" s="3">
        <f>HYPERLINK("https://sao.dolgi.msk.ru/account/1404110681/", 1404110681)</f>
        <v>1404110681</v>
      </c>
      <c r="F5405">
        <v>-3426.94</v>
      </c>
    </row>
    <row r="5406" spans="1:6" hidden="1" x14ac:dyDescent="0.25">
      <c r="A5406" t="s">
        <v>664</v>
      </c>
      <c r="B5406" t="s">
        <v>120</v>
      </c>
      <c r="E5406" s="3">
        <f>HYPERLINK("https://sao.dolgi.msk.ru/account/1404111094/", 1404111094)</f>
        <v>1404111094</v>
      </c>
      <c r="F5406">
        <v>-3243.16</v>
      </c>
    </row>
    <row r="5407" spans="1:6" hidden="1" x14ac:dyDescent="0.25">
      <c r="A5407" t="s">
        <v>664</v>
      </c>
      <c r="B5407" t="s">
        <v>121</v>
      </c>
      <c r="E5407" s="3">
        <f>HYPERLINK("https://sao.dolgi.msk.ru/account/1404109509/", 1404109509)</f>
        <v>1404109509</v>
      </c>
      <c r="F5407">
        <v>-4241.9799999999996</v>
      </c>
    </row>
    <row r="5408" spans="1:6" hidden="1" x14ac:dyDescent="0.25">
      <c r="A5408" t="s">
        <v>664</v>
      </c>
      <c r="B5408" t="s">
        <v>122</v>
      </c>
      <c r="E5408" s="3">
        <f>HYPERLINK("https://sao.dolgi.msk.ru/account/1404111748/", 1404111748)</f>
        <v>1404111748</v>
      </c>
      <c r="F5408">
        <v>-4360.43</v>
      </c>
    </row>
    <row r="5409" spans="1:6" hidden="1" x14ac:dyDescent="0.25">
      <c r="A5409" t="s">
        <v>664</v>
      </c>
      <c r="B5409" t="s">
        <v>123</v>
      </c>
      <c r="E5409" s="3">
        <f>HYPERLINK("https://sao.dolgi.msk.ru/account/1404109517/", 1404109517)</f>
        <v>1404109517</v>
      </c>
      <c r="F5409">
        <v>-2845.95</v>
      </c>
    </row>
    <row r="5410" spans="1:6" hidden="1" x14ac:dyDescent="0.25">
      <c r="A5410" t="s">
        <v>664</v>
      </c>
      <c r="B5410" t="s">
        <v>124</v>
      </c>
      <c r="E5410" s="3">
        <f>HYPERLINK("https://sao.dolgi.msk.ru/account/1404111414/", 1404111414)</f>
        <v>1404111414</v>
      </c>
      <c r="F5410">
        <v>-3630.23</v>
      </c>
    </row>
    <row r="5411" spans="1:6" hidden="1" x14ac:dyDescent="0.25">
      <c r="A5411" t="s">
        <v>664</v>
      </c>
      <c r="B5411" t="s">
        <v>125</v>
      </c>
      <c r="E5411" s="3">
        <f>HYPERLINK("https://sao.dolgi.msk.ru/account/1404111422/", 1404111422)</f>
        <v>1404111422</v>
      </c>
      <c r="F5411">
        <v>-3178.47</v>
      </c>
    </row>
    <row r="5412" spans="1:6" hidden="1" x14ac:dyDescent="0.25">
      <c r="A5412" t="s">
        <v>664</v>
      </c>
      <c r="B5412" t="s">
        <v>126</v>
      </c>
      <c r="E5412" s="3">
        <f>HYPERLINK("https://sao.dolgi.msk.ru/account/1404111449/", 1404111449)</f>
        <v>1404111449</v>
      </c>
      <c r="F5412">
        <v>-3676.82</v>
      </c>
    </row>
    <row r="5413" spans="1:6" hidden="1" x14ac:dyDescent="0.25">
      <c r="A5413" t="s">
        <v>664</v>
      </c>
      <c r="B5413" t="s">
        <v>127</v>
      </c>
      <c r="E5413" s="3">
        <f>HYPERLINK("https://sao.dolgi.msk.ru/account/1404110702/", 1404110702)</f>
        <v>1404110702</v>
      </c>
      <c r="F5413">
        <v>-887.4</v>
      </c>
    </row>
    <row r="5414" spans="1:6" hidden="1" x14ac:dyDescent="0.25">
      <c r="A5414" t="s">
        <v>664</v>
      </c>
      <c r="B5414" t="s">
        <v>128</v>
      </c>
      <c r="E5414" s="3">
        <f>HYPERLINK("https://sao.dolgi.msk.ru/account/1404109074/", 1404109074)</f>
        <v>1404109074</v>
      </c>
      <c r="F5414">
        <v>-4615.82</v>
      </c>
    </row>
    <row r="5415" spans="1:6" hidden="1" x14ac:dyDescent="0.25">
      <c r="A5415" t="s">
        <v>664</v>
      </c>
      <c r="B5415" t="s">
        <v>129</v>
      </c>
      <c r="E5415" s="3">
        <f>HYPERLINK("https://sao.dolgi.msk.ru/account/1404111107/", 1404111107)</f>
        <v>1404111107</v>
      </c>
      <c r="F5415">
        <v>-3435.1</v>
      </c>
    </row>
    <row r="5416" spans="1:6" x14ac:dyDescent="0.25">
      <c r="A5416" t="s">
        <v>664</v>
      </c>
      <c r="B5416" t="s">
        <v>130</v>
      </c>
      <c r="C5416" s="5" t="str">
        <f>" кв. "&amp;B5416</f>
        <v xml:space="preserve"> кв. 126</v>
      </c>
      <c r="D5416" s="5" t="str">
        <f>CONCATENATE(A5416,C5416)</f>
        <v>Ленинградское шоссе, дом 92/1 кв. 126</v>
      </c>
      <c r="E5416" s="3">
        <f>HYPERLINK("https://sao.dolgi.msk.ru/account/1404109525/", 1404109525)</f>
        <v>1404109525</v>
      </c>
      <c r="F5416">
        <v>44824.18</v>
      </c>
    </row>
    <row r="5417" spans="1:6" hidden="1" x14ac:dyDescent="0.25">
      <c r="A5417" t="s">
        <v>664</v>
      </c>
      <c r="B5417" t="s">
        <v>131</v>
      </c>
      <c r="E5417" s="3">
        <f>HYPERLINK("https://sao.dolgi.msk.ru/account/1404109533/", 1404109533)</f>
        <v>1404109533</v>
      </c>
      <c r="F5417">
        <v>-678.45</v>
      </c>
    </row>
    <row r="5418" spans="1:6" x14ac:dyDescent="0.25">
      <c r="A5418" t="s">
        <v>664</v>
      </c>
      <c r="B5418" t="s">
        <v>132</v>
      </c>
      <c r="C5418" s="5" t="str">
        <f>" кв. "&amp;B5418</f>
        <v xml:space="preserve"> кв. 128</v>
      </c>
      <c r="D5418" s="5" t="str">
        <f>CONCATENATE(A5418,C5418)</f>
        <v>Ленинградское шоссе, дом 92/1 кв. 128</v>
      </c>
      <c r="E5418" s="3">
        <f>HYPERLINK("https://sao.dolgi.msk.ru/account/1404110315/", 1404110315)</f>
        <v>1404110315</v>
      </c>
      <c r="F5418">
        <v>4246.8100000000004</v>
      </c>
    </row>
    <row r="5419" spans="1:6" hidden="1" x14ac:dyDescent="0.25">
      <c r="A5419" t="s">
        <v>664</v>
      </c>
      <c r="B5419" t="s">
        <v>133</v>
      </c>
      <c r="E5419" s="3">
        <f>HYPERLINK("https://sao.dolgi.msk.ru/account/1404109277/", 1404109277)</f>
        <v>1404109277</v>
      </c>
      <c r="F5419">
        <v>-2174.62</v>
      </c>
    </row>
    <row r="5420" spans="1:6" x14ac:dyDescent="0.25">
      <c r="A5420" t="s">
        <v>664</v>
      </c>
      <c r="B5420" t="s">
        <v>134</v>
      </c>
      <c r="C5420" s="5" t="str">
        <f>" кв. "&amp;B5420</f>
        <v xml:space="preserve"> кв. 130</v>
      </c>
      <c r="D5420" s="5" t="str">
        <f>CONCATENATE(A5420,C5420)</f>
        <v>Ленинградское шоссе, дом 92/1 кв. 130</v>
      </c>
      <c r="E5420" s="3">
        <f>HYPERLINK("https://sao.dolgi.msk.ru/account/1404111289/", 1404111289)</f>
        <v>1404111289</v>
      </c>
      <c r="F5420">
        <v>6362.18</v>
      </c>
    </row>
    <row r="5421" spans="1:6" hidden="1" x14ac:dyDescent="0.25">
      <c r="A5421" t="s">
        <v>664</v>
      </c>
      <c r="B5421" t="s">
        <v>135</v>
      </c>
      <c r="E5421" s="3">
        <f>HYPERLINK("https://sao.dolgi.msk.ru/account/1404109285/", 1404109285)</f>
        <v>1404109285</v>
      </c>
      <c r="F5421">
        <v>-7316.33</v>
      </c>
    </row>
    <row r="5422" spans="1:6" hidden="1" x14ac:dyDescent="0.25">
      <c r="A5422" t="s">
        <v>664</v>
      </c>
      <c r="B5422" t="s">
        <v>136</v>
      </c>
      <c r="E5422" s="3">
        <f>HYPERLINK("https://sao.dolgi.msk.ru/account/1404110454/", 1404110454)</f>
        <v>1404110454</v>
      </c>
      <c r="F5422">
        <v>-3248.53</v>
      </c>
    </row>
    <row r="5423" spans="1:6" hidden="1" x14ac:dyDescent="0.25">
      <c r="A5423" t="s">
        <v>664</v>
      </c>
      <c r="B5423" t="s">
        <v>137</v>
      </c>
      <c r="E5423" s="3">
        <f>HYPERLINK("https://sao.dolgi.msk.ru/account/1404109779/", 1404109779)</f>
        <v>1404109779</v>
      </c>
      <c r="F5423">
        <v>-3579.92</v>
      </c>
    </row>
    <row r="5424" spans="1:6" hidden="1" x14ac:dyDescent="0.25">
      <c r="A5424" t="s">
        <v>664</v>
      </c>
      <c r="B5424" t="s">
        <v>138</v>
      </c>
      <c r="E5424" s="3">
        <f>HYPERLINK("https://sao.dolgi.msk.ru/account/1404110227/", 1404110227)</f>
        <v>1404110227</v>
      </c>
      <c r="F5424">
        <v>-3485.17</v>
      </c>
    </row>
    <row r="5425" spans="1:6" hidden="1" x14ac:dyDescent="0.25">
      <c r="A5425" t="s">
        <v>664</v>
      </c>
      <c r="B5425" t="s">
        <v>139</v>
      </c>
      <c r="E5425" s="3">
        <f>HYPERLINK("https://sao.dolgi.msk.ru/account/1404111262/", 1404111262)</f>
        <v>1404111262</v>
      </c>
      <c r="F5425">
        <v>-16612</v>
      </c>
    </row>
    <row r="5426" spans="1:6" hidden="1" x14ac:dyDescent="0.25">
      <c r="A5426" t="s">
        <v>664</v>
      </c>
      <c r="B5426" t="s">
        <v>139</v>
      </c>
      <c r="E5426" s="3">
        <f>HYPERLINK("https://sao.dolgi.msk.ru/account/1404111297/", 1404111297)</f>
        <v>1404111297</v>
      </c>
      <c r="F5426">
        <v>-2486.67</v>
      </c>
    </row>
    <row r="5427" spans="1:6" hidden="1" x14ac:dyDescent="0.25">
      <c r="A5427" t="s">
        <v>664</v>
      </c>
      <c r="B5427" t="s">
        <v>140</v>
      </c>
      <c r="E5427" s="3">
        <f>HYPERLINK("https://sao.dolgi.msk.ru/account/1404111609/", 1404111609)</f>
        <v>1404111609</v>
      </c>
      <c r="F5427">
        <v>-5771.15</v>
      </c>
    </row>
    <row r="5428" spans="1:6" x14ac:dyDescent="0.25">
      <c r="A5428" t="s">
        <v>664</v>
      </c>
      <c r="B5428" t="s">
        <v>141</v>
      </c>
      <c r="C5428" s="5" t="str">
        <f>" кв. "&amp;B5428</f>
        <v xml:space="preserve"> кв. 137</v>
      </c>
      <c r="D5428" s="5" t="str">
        <f>CONCATENATE(A5428,C5428)</f>
        <v>Ленинградское шоссе, дом 92/1 кв. 137</v>
      </c>
      <c r="E5428" s="3">
        <f>HYPERLINK("https://sao.dolgi.msk.ru/account/1404110905/", 1404110905)</f>
        <v>1404110905</v>
      </c>
      <c r="F5428">
        <v>4802.1499999999996</v>
      </c>
    </row>
    <row r="5429" spans="1:6" hidden="1" x14ac:dyDescent="0.25">
      <c r="A5429" t="s">
        <v>664</v>
      </c>
      <c r="B5429" t="s">
        <v>142</v>
      </c>
      <c r="E5429" s="3">
        <f>HYPERLINK("https://sao.dolgi.msk.ru/account/1404111852/", 1404111852)</f>
        <v>1404111852</v>
      </c>
      <c r="F5429">
        <v>-2178.58</v>
      </c>
    </row>
    <row r="5430" spans="1:6" hidden="1" x14ac:dyDescent="0.25">
      <c r="A5430" t="s">
        <v>664</v>
      </c>
      <c r="B5430" t="s">
        <v>143</v>
      </c>
      <c r="E5430" s="3">
        <f>HYPERLINK("https://sao.dolgi.msk.ru/account/1404109306/", 1404109306)</f>
        <v>1404109306</v>
      </c>
      <c r="F5430">
        <v>0</v>
      </c>
    </row>
    <row r="5431" spans="1:6" x14ac:dyDescent="0.25">
      <c r="A5431" t="s">
        <v>664</v>
      </c>
      <c r="B5431" t="s">
        <v>144</v>
      </c>
      <c r="C5431" s="5" t="str">
        <f>" кв. "&amp;B5431</f>
        <v xml:space="preserve"> кв. 140</v>
      </c>
      <c r="D5431" s="5" t="str">
        <f>CONCATENATE(A5431,C5431)</f>
        <v>Ленинградское шоссе, дом 92/1 кв. 140</v>
      </c>
      <c r="E5431" s="3">
        <f>HYPERLINK("https://sao.dolgi.msk.ru/account/1404111617/", 1404111617)</f>
        <v>1404111617</v>
      </c>
      <c r="F5431">
        <v>9286.57</v>
      </c>
    </row>
    <row r="5432" spans="1:6" hidden="1" x14ac:dyDescent="0.25">
      <c r="A5432" t="s">
        <v>664</v>
      </c>
      <c r="B5432" t="s">
        <v>145</v>
      </c>
      <c r="E5432" s="3">
        <f>HYPERLINK("https://sao.dolgi.msk.ru/account/1404109314/", 1404109314)</f>
        <v>1404109314</v>
      </c>
      <c r="F5432">
        <v>0</v>
      </c>
    </row>
    <row r="5433" spans="1:6" hidden="1" x14ac:dyDescent="0.25">
      <c r="A5433" t="s">
        <v>664</v>
      </c>
      <c r="B5433" t="s">
        <v>146</v>
      </c>
      <c r="E5433" s="3">
        <f>HYPERLINK("https://sao.dolgi.msk.ru/account/1404110462/", 1404110462)</f>
        <v>1404110462</v>
      </c>
      <c r="F5433">
        <v>-5820.49</v>
      </c>
    </row>
    <row r="5434" spans="1:6" hidden="1" x14ac:dyDescent="0.25">
      <c r="A5434" t="s">
        <v>664</v>
      </c>
      <c r="B5434" t="s">
        <v>147</v>
      </c>
      <c r="E5434" s="3">
        <f>HYPERLINK("https://sao.dolgi.msk.ru/account/1404108872/", 1404108872)</f>
        <v>1404108872</v>
      </c>
      <c r="F5434">
        <v>-4760.1099999999997</v>
      </c>
    </row>
    <row r="5435" spans="1:6" hidden="1" x14ac:dyDescent="0.25">
      <c r="A5435" t="s">
        <v>664</v>
      </c>
      <c r="B5435" t="s">
        <v>148</v>
      </c>
      <c r="E5435" s="3">
        <f>HYPERLINK("https://sao.dolgi.msk.ru/account/1404109787/", 1404109787)</f>
        <v>1404109787</v>
      </c>
      <c r="F5435">
        <v>-4316.3999999999996</v>
      </c>
    </row>
    <row r="5436" spans="1:6" hidden="1" x14ac:dyDescent="0.25">
      <c r="A5436" t="s">
        <v>664</v>
      </c>
      <c r="B5436" t="s">
        <v>148</v>
      </c>
      <c r="E5436" s="3">
        <f>HYPERLINK("https://sao.dolgi.msk.ru/account/1404111879/", 1404111879)</f>
        <v>1404111879</v>
      </c>
      <c r="F5436">
        <v>-1708.62</v>
      </c>
    </row>
    <row r="5437" spans="1:6" hidden="1" x14ac:dyDescent="0.25">
      <c r="A5437" t="s">
        <v>664</v>
      </c>
      <c r="B5437" t="s">
        <v>149</v>
      </c>
      <c r="E5437" s="3">
        <f>HYPERLINK("https://sao.dolgi.msk.ru/account/1404111318/", 1404111318)</f>
        <v>1404111318</v>
      </c>
      <c r="F5437">
        <v>-364.09</v>
      </c>
    </row>
    <row r="5438" spans="1:6" hidden="1" x14ac:dyDescent="0.25">
      <c r="A5438" t="s">
        <v>664</v>
      </c>
      <c r="B5438" t="s">
        <v>150</v>
      </c>
      <c r="E5438" s="3">
        <f>HYPERLINK("https://sao.dolgi.msk.ru/account/1404109795/", 1404109795)</f>
        <v>1404109795</v>
      </c>
      <c r="F5438">
        <v>0</v>
      </c>
    </row>
    <row r="5439" spans="1:6" hidden="1" x14ac:dyDescent="0.25">
      <c r="A5439" t="s">
        <v>664</v>
      </c>
      <c r="B5439" t="s">
        <v>151</v>
      </c>
      <c r="E5439" s="3">
        <f>HYPERLINK("https://sao.dolgi.msk.ru/account/1404110913/", 1404110913)</f>
        <v>1404110913</v>
      </c>
      <c r="F5439">
        <v>-2442.14</v>
      </c>
    </row>
    <row r="5440" spans="1:6" hidden="1" x14ac:dyDescent="0.25">
      <c r="A5440" t="s">
        <v>664</v>
      </c>
      <c r="B5440" t="s">
        <v>152</v>
      </c>
      <c r="E5440" s="3">
        <f>HYPERLINK("https://sao.dolgi.msk.ru/account/1404110489/", 1404110489)</f>
        <v>1404110489</v>
      </c>
      <c r="F5440">
        <v>-860.7</v>
      </c>
    </row>
    <row r="5441" spans="1:6" hidden="1" x14ac:dyDescent="0.25">
      <c r="A5441" t="s">
        <v>664</v>
      </c>
      <c r="B5441" t="s">
        <v>153</v>
      </c>
      <c r="E5441" s="3">
        <f>HYPERLINK("https://sao.dolgi.msk.ru/account/1404109808/", 1404109808)</f>
        <v>1404109808</v>
      </c>
      <c r="F5441">
        <v>-7102.02</v>
      </c>
    </row>
    <row r="5442" spans="1:6" hidden="1" x14ac:dyDescent="0.25">
      <c r="A5442" t="s">
        <v>664</v>
      </c>
      <c r="B5442" t="s">
        <v>154</v>
      </c>
      <c r="E5442" s="3">
        <f>HYPERLINK("https://sao.dolgi.msk.ru/account/1404111625/", 1404111625)</f>
        <v>1404111625</v>
      </c>
      <c r="F5442">
        <v>-4025.02</v>
      </c>
    </row>
    <row r="5443" spans="1:6" hidden="1" x14ac:dyDescent="0.25">
      <c r="A5443" t="s">
        <v>664</v>
      </c>
      <c r="B5443" t="s">
        <v>155</v>
      </c>
      <c r="E5443" s="3">
        <f>HYPERLINK("https://sao.dolgi.msk.ru/account/1404109816/", 1404109816)</f>
        <v>1404109816</v>
      </c>
      <c r="F5443">
        <v>-329.69</v>
      </c>
    </row>
    <row r="5444" spans="1:6" x14ac:dyDescent="0.25">
      <c r="A5444" t="s">
        <v>664</v>
      </c>
      <c r="B5444" t="s">
        <v>156</v>
      </c>
      <c r="C5444" s="5" t="str">
        <f>" кв. "&amp;B5444</f>
        <v xml:space="preserve"> кв. 152</v>
      </c>
      <c r="D5444" s="5" t="str">
        <f>CONCATENATE(A5444,C5444)</f>
        <v>Ленинградское шоссе, дом 92/1 кв. 152</v>
      </c>
      <c r="E5444" s="3">
        <f>HYPERLINK("https://sao.dolgi.msk.ru/account/1404111326/", 1404111326)</f>
        <v>1404111326</v>
      </c>
      <c r="F5444">
        <v>8444.7000000000007</v>
      </c>
    </row>
    <row r="5445" spans="1:6" hidden="1" x14ac:dyDescent="0.25">
      <c r="A5445" t="s">
        <v>664</v>
      </c>
      <c r="B5445" t="s">
        <v>157</v>
      </c>
      <c r="E5445" s="3">
        <f>HYPERLINK("https://sao.dolgi.msk.ru/account/1404110235/", 1404110235)</f>
        <v>1404110235</v>
      </c>
      <c r="F5445">
        <v>0</v>
      </c>
    </row>
    <row r="5446" spans="1:6" hidden="1" x14ac:dyDescent="0.25">
      <c r="A5446" t="s">
        <v>664</v>
      </c>
      <c r="B5446" t="s">
        <v>158</v>
      </c>
      <c r="E5446" s="3">
        <f>HYPERLINK("https://sao.dolgi.msk.ru/account/1404109322/", 1404109322)</f>
        <v>1404109322</v>
      </c>
      <c r="F5446">
        <v>-3311.72</v>
      </c>
    </row>
    <row r="5447" spans="1:6" hidden="1" x14ac:dyDescent="0.25">
      <c r="A5447" t="s">
        <v>664</v>
      </c>
      <c r="B5447" t="s">
        <v>159</v>
      </c>
      <c r="E5447" s="3">
        <f>HYPERLINK("https://sao.dolgi.msk.ru/account/1404110921/", 1404110921)</f>
        <v>1404110921</v>
      </c>
      <c r="F5447">
        <v>0</v>
      </c>
    </row>
    <row r="5448" spans="1:6" hidden="1" x14ac:dyDescent="0.25">
      <c r="A5448" t="s">
        <v>664</v>
      </c>
      <c r="B5448" t="s">
        <v>160</v>
      </c>
      <c r="E5448" s="3">
        <f>HYPERLINK("https://sao.dolgi.msk.ru/account/1404111633/", 1404111633)</f>
        <v>1404111633</v>
      </c>
      <c r="F5448">
        <v>-1120.9000000000001</v>
      </c>
    </row>
    <row r="5449" spans="1:6" hidden="1" x14ac:dyDescent="0.25">
      <c r="A5449" t="s">
        <v>664</v>
      </c>
      <c r="B5449" t="s">
        <v>161</v>
      </c>
      <c r="E5449" s="3">
        <f>HYPERLINK("https://sao.dolgi.msk.ru/account/1404111641/", 1404111641)</f>
        <v>1404111641</v>
      </c>
      <c r="F5449">
        <v>-5736.61</v>
      </c>
    </row>
    <row r="5450" spans="1:6" hidden="1" x14ac:dyDescent="0.25">
      <c r="A5450" t="s">
        <v>664</v>
      </c>
      <c r="B5450" t="s">
        <v>162</v>
      </c>
      <c r="E5450" s="3">
        <f>HYPERLINK("https://sao.dolgi.msk.ru/account/1404110243/", 1404110243)</f>
        <v>1404110243</v>
      </c>
      <c r="F5450">
        <v>0</v>
      </c>
    </row>
    <row r="5451" spans="1:6" hidden="1" x14ac:dyDescent="0.25">
      <c r="A5451" t="s">
        <v>664</v>
      </c>
      <c r="B5451" t="s">
        <v>163</v>
      </c>
      <c r="E5451" s="3">
        <f>HYPERLINK("https://sao.dolgi.msk.ru/account/1404109824/", 1404109824)</f>
        <v>1404109824</v>
      </c>
      <c r="F5451">
        <v>-3805.99</v>
      </c>
    </row>
    <row r="5452" spans="1:6" hidden="1" x14ac:dyDescent="0.25">
      <c r="A5452" t="s">
        <v>664</v>
      </c>
      <c r="B5452" t="s">
        <v>164</v>
      </c>
      <c r="E5452" s="3">
        <f>HYPERLINK("https://sao.dolgi.msk.ru/account/1404110497/", 1404110497)</f>
        <v>1404110497</v>
      </c>
      <c r="F5452">
        <v>-3528.1</v>
      </c>
    </row>
    <row r="5453" spans="1:6" hidden="1" x14ac:dyDescent="0.25">
      <c r="A5453" t="s">
        <v>664</v>
      </c>
      <c r="B5453" t="s">
        <v>165</v>
      </c>
      <c r="E5453" s="3">
        <f>HYPERLINK("https://sao.dolgi.msk.ru/account/1404110251/", 1404110251)</f>
        <v>1404110251</v>
      </c>
      <c r="F5453">
        <v>-2584</v>
      </c>
    </row>
    <row r="5454" spans="1:6" hidden="1" x14ac:dyDescent="0.25">
      <c r="A5454" t="s">
        <v>664</v>
      </c>
      <c r="B5454" t="s">
        <v>166</v>
      </c>
      <c r="E5454" s="3">
        <f>HYPERLINK("https://sao.dolgi.msk.ru/account/1404109832/", 1404109832)</f>
        <v>1404109832</v>
      </c>
      <c r="F5454">
        <v>0</v>
      </c>
    </row>
    <row r="5455" spans="1:6" hidden="1" x14ac:dyDescent="0.25">
      <c r="A5455" t="s">
        <v>664</v>
      </c>
      <c r="B5455" t="s">
        <v>167</v>
      </c>
      <c r="E5455" s="3">
        <f>HYPERLINK("https://sao.dolgi.msk.ru/account/1404108899/", 1404108899)</f>
        <v>1404108899</v>
      </c>
      <c r="F5455">
        <v>-4334.47</v>
      </c>
    </row>
    <row r="5456" spans="1:6" hidden="1" x14ac:dyDescent="0.25">
      <c r="A5456" t="s">
        <v>664</v>
      </c>
      <c r="B5456" t="s">
        <v>168</v>
      </c>
      <c r="E5456" s="3">
        <f>HYPERLINK("https://sao.dolgi.msk.ru/account/1404109859/", 1404109859)</f>
        <v>1404109859</v>
      </c>
      <c r="F5456">
        <v>-1371.18</v>
      </c>
    </row>
    <row r="5457" spans="1:6" hidden="1" x14ac:dyDescent="0.25">
      <c r="A5457" t="s">
        <v>664</v>
      </c>
      <c r="B5457" t="s">
        <v>168</v>
      </c>
      <c r="E5457" s="3">
        <f>HYPERLINK("https://sao.dolgi.msk.ru/account/1404110171/", 1404110171)</f>
        <v>1404110171</v>
      </c>
      <c r="F5457">
        <v>-1479.22</v>
      </c>
    </row>
    <row r="5458" spans="1:6" hidden="1" x14ac:dyDescent="0.25">
      <c r="A5458" t="s">
        <v>664</v>
      </c>
      <c r="B5458" t="s">
        <v>169</v>
      </c>
      <c r="E5458" s="3">
        <f>HYPERLINK("https://sao.dolgi.msk.ru/account/1404110518/", 1404110518)</f>
        <v>1404110518</v>
      </c>
      <c r="F5458">
        <v>-2384.14</v>
      </c>
    </row>
    <row r="5459" spans="1:6" x14ac:dyDescent="0.25">
      <c r="A5459" t="s">
        <v>664</v>
      </c>
      <c r="B5459" t="s">
        <v>170</v>
      </c>
      <c r="C5459" s="5" t="str">
        <f>" кв. "&amp;B5459</f>
        <v xml:space="preserve"> кв. 166</v>
      </c>
      <c r="D5459" s="5" t="str">
        <f>CONCATENATE(A5459,C5459)</f>
        <v>Ленинградское шоссе, дом 92/1 кв. 166</v>
      </c>
      <c r="E5459" s="3">
        <f>HYPERLINK("https://sao.dolgi.msk.ru/account/1404108901/", 1404108901)</f>
        <v>1404108901</v>
      </c>
      <c r="F5459">
        <v>22225.439999999999</v>
      </c>
    </row>
    <row r="5460" spans="1:6" hidden="1" x14ac:dyDescent="0.25">
      <c r="A5460" t="s">
        <v>664</v>
      </c>
      <c r="B5460" t="s">
        <v>171</v>
      </c>
      <c r="E5460" s="3">
        <f>HYPERLINK("https://sao.dolgi.msk.ru/account/1404111668/", 1404111668)</f>
        <v>1404111668</v>
      </c>
      <c r="F5460">
        <v>-5951.16</v>
      </c>
    </row>
    <row r="5461" spans="1:6" hidden="1" x14ac:dyDescent="0.25">
      <c r="A5461" t="s">
        <v>664</v>
      </c>
      <c r="B5461" t="s">
        <v>172</v>
      </c>
      <c r="E5461" s="3">
        <f>HYPERLINK("https://sao.dolgi.msk.ru/account/1404110948/", 1404110948)</f>
        <v>1404110948</v>
      </c>
      <c r="F5461">
        <v>-3343.09</v>
      </c>
    </row>
    <row r="5462" spans="1:6" hidden="1" x14ac:dyDescent="0.25">
      <c r="A5462" t="s">
        <v>664</v>
      </c>
      <c r="B5462" t="s">
        <v>173</v>
      </c>
      <c r="E5462" s="3">
        <f>HYPERLINK("https://sao.dolgi.msk.ru/account/1404111676/", 1404111676)</f>
        <v>1404111676</v>
      </c>
      <c r="F5462">
        <v>0</v>
      </c>
    </row>
    <row r="5463" spans="1:6" hidden="1" x14ac:dyDescent="0.25">
      <c r="A5463" t="s">
        <v>664</v>
      </c>
      <c r="B5463" t="s">
        <v>174</v>
      </c>
      <c r="E5463" s="3">
        <f>HYPERLINK("https://sao.dolgi.msk.ru/account/1404108928/", 1404108928)</f>
        <v>1404108928</v>
      </c>
      <c r="F5463">
        <v>-4901.33</v>
      </c>
    </row>
    <row r="5464" spans="1:6" hidden="1" x14ac:dyDescent="0.25">
      <c r="A5464" t="s">
        <v>664</v>
      </c>
      <c r="B5464" t="s">
        <v>175</v>
      </c>
      <c r="E5464" s="3">
        <f>HYPERLINK("https://sao.dolgi.msk.ru/account/1404109349/", 1404109349)</f>
        <v>1404109349</v>
      </c>
      <c r="F5464">
        <v>-3280.86</v>
      </c>
    </row>
    <row r="5465" spans="1:6" hidden="1" x14ac:dyDescent="0.25">
      <c r="A5465" t="s">
        <v>664</v>
      </c>
      <c r="B5465" t="s">
        <v>176</v>
      </c>
      <c r="E5465" s="3">
        <f>HYPERLINK("https://sao.dolgi.msk.ru/account/1404110526/", 1404110526)</f>
        <v>1404110526</v>
      </c>
      <c r="F5465">
        <v>-549.17999999999995</v>
      </c>
    </row>
    <row r="5466" spans="1:6" hidden="1" x14ac:dyDescent="0.25">
      <c r="A5466" t="s">
        <v>664</v>
      </c>
      <c r="B5466" t="s">
        <v>177</v>
      </c>
      <c r="E5466" s="3">
        <f>HYPERLINK("https://sao.dolgi.msk.ru/account/1404108936/", 1404108936)</f>
        <v>1404108936</v>
      </c>
      <c r="F5466">
        <v>0</v>
      </c>
    </row>
    <row r="5467" spans="1:6" hidden="1" x14ac:dyDescent="0.25">
      <c r="A5467" t="s">
        <v>664</v>
      </c>
      <c r="B5467" t="s">
        <v>178</v>
      </c>
      <c r="E5467" s="3">
        <f>HYPERLINK("https://sao.dolgi.msk.ru/account/1404110534/", 1404110534)</f>
        <v>1404110534</v>
      </c>
      <c r="F5467">
        <v>-5766.96</v>
      </c>
    </row>
    <row r="5468" spans="1:6" hidden="1" x14ac:dyDescent="0.25">
      <c r="A5468" t="s">
        <v>664</v>
      </c>
      <c r="B5468" t="s">
        <v>179</v>
      </c>
      <c r="E5468" s="3">
        <f>HYPERLINK("https://sao.dolgi.msk.ru/account/1404109357/", 1404109357)</f>
        <v>1404109357</v>
      </c>
      <c r="F5468">
        <v>-4466.18</v>
      </c>
    </row>
    <row r="5469" spans="1:6" hidden="1" x14ac:dyDescent="0.25">
      <c r="A5469" t="s">
        <v>664</v>
      </c>
      <c r="B5469" t="s">
        <v>180</v>
      </c>
      <c r="E5469" s="3">
        <f>HYPERLINK("https://sao.dolgi.msk.ru/account/1404110278/", 1404110278)</f>
        <v>1404110278</v>
      </c>
      <c r="F5469">
        <v>-6805.56</v>
      </c>
    </row>
    <row r="5470" spans="1:6" hidden="1" x14ac:dyDescent="0.25">
      <c r="A5470" t="s">
        <v>664</v>
      </c>
      <c r="B5470" t="s">
        <v>181</v>
      </c>
      <c r="E5470" s="3">
        <f>HYPERLINK("https://sao.dolgi.msk.ru/account/1404110286/", 1404110286)</f>
        <v>1404110286</v>
      </c>
      <c r="F5470">
        <v>-2222.6</v>
      </c>
    </row>
    <row r="5471" spans="1:6" hidden="1" x14ac:dyDescent="0.25">
      <c r="A5471" t="s">
        <v>664</v>
      </c>
      <c r="B5471" t="s">
        <v>182</v>
      </c>
      <c r="E5471" s="3">
        <f>HYPERLINK("https://sao.dolgi.msk.ru/account/1404108944/", 1404108944)</f>
        <v>1404108944</v>
      </c>
      <c r="F5471">
        <v>-7847.92</v>
      </c>
    </row>
    <row r="5472" spans="1:6" hidden="1" x14ac:dyDescent="0.25">
      <c r="A5472" t="s">
        <v>664</v>
      </c>
      <c r="B5472" t="s">
        <v>183</v>
      </c>
      <c r="E5472" s="3">
        <f>HYPERLINK("https://sao.dolgi.msk.ru/account/1404110542/", 1404110542)</f>
        <v>1404110542</v>
      </c>
      <c r="F5472">
        <v>-6692.27</v>
      </c>
    </row>
    <row r="5473" spans="1:6" hidden="1" x14ac:dyDescent="0.25">
      <c r="A5473" t="s">
        <v>664</v>
      </c>
      <c r="B5473" t="s">
        <v>184</v>
      </c>
      <c r="E5473" s="3">
        <f>HYPERLINK("https://sao.dolgi.msk.ru/account/1404109867/", 1404109867)</f>
        <v>1404109867</v>
      </c>
      <c r="F5473">
        <v>-779.27</v>
      </c>
    </row>
    <row r="5474" spans="1:6" x14ac:dyDescent="0.25">
      <c r="A5474" t="s">
        <v>664</v>
      </c>
      <c r="B5474" t="s">
        <v>185</v>
      </c>
      <c r="C5474" s="5" t="str">
        <f>" кв. "&amp;B5474</f>
        <v xml:space="preserve"> кв. 181</v>
      </c>
      <c r="D5474" s="5" t="str">
        <f>CONCATENATE(A5474,C5474)</f>
        <v>Ленинградское шоссе, дом 92/1 кв. 181</v>
      </c>
      <c r="E5474" s="3">
        <f>HYPERLINK("https://sao.dolgi.msk.ru/account/1404111334/", 1404111334)</f>
        <v>1404111334</v>
      </c>
      <c r="F5474">
        <v>3183.56</v>
      </c>
    </row>
    <row r="5475" spans="1:6" hidden="1" x14ac:dyDescent="0.25">
      <c r="A5475" t="s">
        <v>664</v>
      </c>
      <c r="B5475" t="s">
        <v>186</v>
      </c>
      <c r="E5475" s="3">
        <f>HYPERLINK("https://sao.dolgi.msk.ru/account/1404109365/", 1404109365)</f>
        <v>1404109365</v>
      </c>
      <c r="F5475">
        <v>0</v>
      </c>
    </row>
    <row r="5476" spans="1:6" hidden="1" x14ac:dyDescent="0.25">
      <c r="A5476" t="s">
        <v>664</v>
      </c>
      <c r="B5476" t="s">
        <v>187</v>
      </c>
      <c r="E5476" s="3">
        <f>HYPERLINK("https://sao.dolgi.msk.ru/account/1404110569/", 1404110569)</f>
        <v>1404110569</v>
      </c>
      <c r="F5476">
        <v>-1751.46</v>
      </c>
    </row>
    <row r="5477" spans="1:6" hidden="1" x14ac:dyDescent="0.25">
      <c r="A5477" t="s">
        <v>664</v>
      </c>
      <c r="B5477" t="s">
        <v>187</v>
      </c>
      <c r="E5477" s="3">
        <f>HYPERLINK("https://sao.dolgi.msk.ru/account/1404111596/", 1404111596)</f>
        <v>1404111596</v>
      </c>
      <c r="F5477">
        <v>-3890.89</v>
      </c>
    </row>
    <row r="5478" spans="1:6" hidden="1" x14ac:dyDescent="0.25">
      <c r="A5478" t="s">
        <v>664</v>
      </c>
      <c r="B5478" t="s">
        <v>188</v>
      </c>
      <c r="E5478" s="3">
        <f>HYPERLINK("https://sao.dolgi.msk.ru/account/1404109875/", 1404109875)</f>
        <v>1404109875</v>
      </c>
      <c r="F5478">
        <v>-4083.4</v>
      </c>
    </row>
    <row r="5479" spans="1:6" hidden="1" x14ac:dyDescent="0.25">
      <c r="A5479" t="s">
        <v>664</v>
      </c>
      <c r="B5479" t="s">
        <v>189</v>
      </c>
      <c r="E5479" s="3">
        <f>HYPERLINK("https://sao.dolgi.msk.ru/account/1404111342/", 1404111342)</f>
        <v>1404111342</v>
      </c>
      <c r="F5479">
        <v>-5447.91</v>
      </c>
    </row>
    <row r="5480" spans="1:6" hidden="1" x14ac:dyDescent="0.25">
      <c r="A5480" t="s">
        <v>664</v>
      </c>
      <c r="B5480" t="s">
        <v>190</v>
      </c>
      <c r="E5480" s="3">
        <f>HYPERLINK("https://sao.dolgi.msk.ru/account/1404109883/", 1404109883)</f>
        <v>1404109883</v>
      </c>
      <c r="F5480">
        <v>-6621.37</v>
      </c>
    </row>
    <row r="5481" spans="1:6" hidden="1" x14ac:dyDescent="0.25">
      <c r="A5481" t="s">
        <v>664</v>
      </c>
      <c r="B5481" t="s">
        <v>191</v>
      </c>
      <c r="E5481" s="3">
        <f>HYPERLINK("https://sao.dolgi.msk.ru/account/1404109752/", 1404109752)</f>
        <v>1404109752</v>
      </c>
      <c r="F5481">
        <v>-2866.83</v>
      </c>
    </row>
    <row r="5482" spans="1:6" hidden="1" x14ac:dyDescent="0.25">
      <c r="A5482" t="s">
        <v>664</v>
      </c>
      <c r="B5482" t="s">
        <v>191</v>
      </c>
      <c r="E5482" s="3">
        <f>HYPERLINK("https://sao.dolgi.msk.ru/account/1404110577/", 1404110577)</f>
        <v>1404110577</v>
      </c>
      <c r="F5482">
        <v>0</v>
      </c>
    </row>
    <row r="5483" spans="1:6" hidden="1" x14ac:dyDescent="0.25">
      <c r="A5483" t="s">
        <v>664</v>
      </c>
      <c r="B5483" t="s">
        <v>192</v>
      </c>
      <c r="E5483" s="3">
        <f>HYPERLINK("https://sao.dolgi.msk.ru/account/1404108952/", 1404108952)</f>
        <v>1404108952</v>
      </c>
      <c r="F5483">
        <v>-2266.0500000000002</v>
      </c>
    </row>
    <row r="5484" spans="1:6" hidden="1" x14ac:dyDescent="0.25">
      <c r="A5484" t="s">
        <v>664</v>
      </c>
      <c r="B5484" t="s">
        <v>193</v>
      </c>
      <c r="E5484" s="3">
        <f>HYPERLINK("https://sao.dolgi.msk.ru/account/1404110956/", 1404110956)</f>
        <v>1404110956</v>
      </c>
      <c r="F5484">
        <v>0</v>
      </c>
    </row>
    <row r="5485" spans="1:6" hidden="1" x14ac:dyDescent="0.25">
      <c r="A5485" t="s">
        <v>664</v>
      </c>
      <c r="B5485" t="s">
        <v>194</v>
      </c>
      <c r="E5485" s="3">
        <f>HYPERLINK("https://sao.dolgi.msk.ru/account/1404109891/", 1404109891)</f>
        <v>1404109891</v>
      </c>
      <c r="F5485">
        <v>-4065.92</v>
      </c>
    </row>
    <row r="5486" spans="1:6" hidden="1" x14ac:dyDescent="0.25">
      <c r="A5486" t="s">
        <v>664</v>
      </c>
      <c r="B5486" t="s">
        <v>195</v>
      </c>
      <c r="E5486" s="3">
        <f>HYPERLINK("https://sao.dolgi.msk.ru/account/1404110964/", 1404110964)</f>
        <v>1404110964</v>
      </c>
      <c r="F5486">
        <v>-350.32</v>
      </c>
    </row>
    <row r="5487" spans="1:6" hidden="1" x14ac:dyDescent="0.25">
      <c r="A5487" t="s">
        <v>664</v>
      </c>
      <c r="B5487" t="s">
        <v>196</v>
      </c>
      <c r="E5487" s="3">
        <f>HYPERLINK("https://sao.dolgi.msk.ru/account/1404110585/", 1404110585)</f>
        <v>1404110585</v>
      </c>
      <c r="F5487">
        <v>-5724.05</v>
      </c>
    </row>
    <row r="5488" spans="1:6" hidden="1" x14ac:dyDescent="0.25">
      <c r="A5488" t="s">
        <v>664</v>
      </c>
      <c r="B5488" t="s">
        <v>197</v>
      </c>
      <c r="E5488" s="3">
        <f>HYPERLINK("https://sao.dolgi.msk.ru/account/1404111684/", 1404111684)</f>
        <v>1404111684</v>
      </c>
      <c r="F5488">
        <v>-12307.63</v>
      </c>
    </row>
    <row r="5489" spans="1:6" hidden="1" x14ac:dyDescent="0.25">
      <c r="A5489" t="s">
        <v>664</v>
      </c>
      <c r="B5489" t="s">
        <v>198</v>
      </c>
      <c r="E5489" s="3">
        <f>HYPERLINK("https://sao.dolgi.msk.ru/account/1404109373/", 1404109373)</f>
        <v>1404109373</v>
      </c>
      <c r="F5489">
        <v>-3515.52</v>
      </c>
    </row>
    <row r="5490" spans="1:6" hidden="1" x14ac:dyDescent="0.25">
      <c r="A5490" t="s">
        <v>664</v>
      </c>
      <c r="B5490" t="s">
        <v>199</v>
      </c>
      <c r="E5490" s="3">
        <f>HYPERLINK("https://sao.dolgi.msk.ru/account/1404108979/", 1404108979)</f>
        <v>1404108979</v>
      </c>
      <c r="F5490">
        <v>0</v>
      </c>
    </row>
    <row r="5491" spans="1:6" hidden="1" x14ac:dyDescent="0.25">
      <c r="A5491" t="s">
        <v>664</v>
      </c>
      <c r="B5491" t="s">
        <v>200</v>
      </c>
      <c r="E5491" s="3">
        <f>HYPERLINK("https://sao.dolgi.msk.ru/account/1404110972/", 1404110972)</f>
        <v>1404110972</v>
      </c>
      <c r="F5491">
        <v>-3483.49</v>
      </c>
    </row>
    <row r="5492" spans="1:6" hidden="1" x14ac:dyDescent="0.25">
      <c r="A5492" t="s">
        <v>664</v>
      </c>
      <c r="B5492" t="s">
        <v>201</v>
      </c>
      <c r="E5492" s="3">
        <f>HYPERLINK("https://sao.dolgi.msk.ru/account/1404108987/", 1404108987)</f>
        <v>1404108987</v>
      </c>
      <c r="F5492">
        <v>-9671.26</v>
      </c>
    </row>
    <row r="5493" spans="1:6" hidden="1" x14ac:dyDescent="0.25">
      <c r="A5493" t="s">
        <v>664</v>
      </c>
      <c r="B5493" t="s">
        <v>202</v>
      </c>
      <c r="E5493" s="3">
        <f>HYPERLINK("https://sao.dolgi.msk.ru/account/1404110593/", 1404110593)</f>
        <v>1404110593</v>
      </c>
      <c r="F5493">
        <v>-11877.87</v>
      </c>
    </row>
    <row r="5494" spans="1:6" hidden="1" x14ac:dyDescent="0.25">
      <c r="A5494" t="s">
        <v>664</v>
      </c>
      <c r="B5494" t="s">
        <v>203</v>
      </c>
      <c r="E5494" s="3">
        <f>HYPERLINK("https://sao.dolgi.msk.ru/account/1404108995/", 1404108995)</f>
        <v>1404108995</v>
      </c>
      <c r="F5494">
        <v>-1428.7</v>
      </c>
    </row>
    <row r="5495" spans="1:6" hidden="1" x14ac:dyDescent="0.25">
      <c r="A5495" t="s">
        <v>664</v>
      </c>
      <c r="B5495" t="s">
        <v>204</v>
      </c>
      <c r="E5495" s="3">
        <f>HYPERLINK("https://sao.dolgi.msk.ru/account/1404109904/", 1404109904)</f>
        <v>1404109904</v>
      </c>
      <c r="F5495">
        <v>-3849.4</v>
      </c>
    </row>
    <row r="5496" spans="1:6" x14ac:dyDescent="0.25">
      <c r="A5496" t="s">
        <v>664</v>
      </c>
      <c r="B5496" t="s">
        <v>205</v>
      </c>
      <c r="C5496" s="5" t="str">
        <f>" кв. "&amp;B5496</f>
        <v xml:space="preserve"> кв. 201</v>
      </c>
      <c r="D5496" s="5" t="str">
        <f>CONCATENATE(A5496,C5496)</f>
        <v>Ленинградское шоссе, дом 92/1 кв. 201</v>
      </c>
      <c r="E5496" s="3">
        <f>HYPERLINK("https://sao.dolgi.msk.ru/account/1404110606/", 1404110606)</f>
        <v>1404110606</v>
      </c>
      <c r="F5496">
        <v>3089.4</v>
      </c>
    </row>
    <row r="5497" spans="1:6" hidden="1" x14ac:dyDescent="0.25">
      <c r="A5497" t="s">
        <v>664</v>
      </c>
      <c r="B5497" t="s">
        <v>206</v>
      </c>
      <c r="E5497" s="3">
        <f>HYPERLINK("https://sao.dolgi.msk.ru/account/1404110999/", 1404110999)</f>
        <v>1404110999</v>
      </c>
      <c r="F5497">
        <v>-4885.09</v>
      </c>
    </row>
    <row r="5498" spans="1:6" hidden="1" x14ac:dyDescent="0.25">
      <c r="A5498" t="s">
        <v>664</v>
      </c>
      <c r="B5498" t="s">
        <v>207</v>
      </c>
      <c r="E5498" s="3">
        <f>HYPERLINK("https://sao.dolgi.msk.ru/account/1404110163/", 1404110163)</f>
        <v>1404110163</v>
      </c>
      <c r="F5498">
        <v>-4426.51</v>
      </c>
    </row>
    <row r="5499" spans="1:6" hidden="1" x14ac:dyDescent="0.25">
      <c r="A5499" t="s">
        <v>664</v>
      </c>
      <c r="B5499" t="s">
        <v>208</v>
      </c>
      <c r="E5499" s="3">
        <f>HYPERLINK("https://sao.dolgi.msk.ru/account/1404109242/", 1404109242)</f>
        <v>1404109242</v>
      </c>
      <c r="F5499">
        <v>-2306.91</v>
      </c>
    </row>
    <row r="5500" spans="1:6" hidden="1" x14ac:dyDescent="0.25">
      <c r="A5500" t="s">
        <v>664</v>
      </c>
      <c r="B5500" t="s">
        <v>208</v>
      </c>
      <c r="E5500" s="3">
        <f>HYPERLINK("https://sao.dolgi.msk.ru/account/1404109381/", 1404109381)</f>
        <v>1404109381</v>
      </c>
      <c r="F5500">
        <v>0</v>
      </c>
    </row>
    <row r="5501" spans="1:6" hidden="1" x14ac:dyDescent="0.25">
      <c r="A5501" t="s">
        <v>664</v>
      </c>
      <c r="B5501" t="s">
        <v>209</v>
      </c>
      <c r="E5501" s="3">
        <f>HYPERLINK("https://sao.dolgi.msk.ru/account/1404110614/", 1404110614)</f>
        <v>1404110614</v>
      </c>
      <c r="F5501">
        <v>0</v>
      </c>
    </row>
    <row r="5502" spans="1:6" hidden="1" x14ac:dyDescent="0.25">
      <c r="A5502" t="s">
        <v>664</v>
      </c>
      <c r="B5502" t="s">
        <v>210</v>
      </c>
      <c r="E5502" s="3">
        <f>HYPERLINK("https://sao.dolgi.msk.ru/account/1404111692/", 1404111692)</f>
        <v>1404111692</v>
      </c>
      <c r="F5502">
        <v>-281.7</v>
      </c>
    </row>
    <row r="5503" spans="1:6" hidden="1" x14ac:dyDescent="0.25">
      <c r="A5503" t="s">
        <v>664</v>
      </c>
      <c r="B5503" t="s">
        <v>211</v>
      </c>
      <c r="E5503" s="3">
        <f>HYPERLINK("https://sao.dolgi.msk.ru/account/1404109007/", 1404109007)</f>
        <v>1404109007</v>
      </c>
      <c r="F5503">
        <v>-5244.27</v>
      </c>
    </row>
    <row r="5504" spans="1:6" hidden="1" x14ac:dyDescent="0.25">
      <c r="A5504" t="s">
        <v>664</v>
      </c>
      <c r="B5504" t="s">
        <v>212</v>
      </c>
      <c r="E5504" s="3">
        <f>HYPERLINK("https://sao.dolgi.msk.ru/account/1404111705/", 1404111705)</f>
        <v>1404111705</v>
      </c>
      <c r="F5504">
        <v>0</v>
      </c>
    </row>
    <row r="5505" spans="1:6" hidden="1" x14ac:dyDescent="0.25">
      <c r="A5505" t="s">
        <v>664</v>
      </c>
      <c r="B5505" t="s">
        <v>213</v>
      </c>
      <c r="E5505" s="3">
        <f>HYPERLINK("https://sao.dolgi.msk.ru/account/1404109015/", 1404109015)</f>
        <v>1404109015</v>
      </c>
      <c r="F5505">
        <v>-3213.4</v>
      </c>
    </row>
    <row r="5506" spans="1:6" x14ac:dyDescent="0.25">
      <c r="A5506" t="s">
        <v>664</v>
      </c>
      <c r="B5506" t="s">
        <v>214</v>
      </c>
      <c r="C5506" s="5" t="str">
        <f>" кв. "&amp;B5506</f>
        <v xml:space="preserve"> кв. 210</v>
      </c>
      <c r="D5506" s="5" t="str">
        <f>CONCATENATE(A5506,C5506)</f>
        <v>Ленинградское шоссе, дом 92/1 кв. 210</v>
      </c>
      <c r="E5506" s="3">
        <f>HYPERLINK("https://sao.dolgi.msk.ru/account/1404110294/", 1404110294)</f>
        <v>1404110294</v>
      </c>
      <c r="F5506">
        <v>114209.66</v>
      </c>
    </row>
    <row r="5507" spans="1:6" hidden="1" x14ac:dyDescent="0.25">
      <c r="A5507" t="s">
        <v>664</v>
      </c>
      <c r="B5507" t="s">
        <v>215</v>
      </c>
      <c r="E5507" s="3">
        <f>HYPERLINK("https://sao.dolgi.msk.ru/account/1404111027/", 1404111027)</f>
        <v>1404111027</v>
      </c>
      <c r="F5507">
        <v>-6149.04</v>
      </c>
    </row>
    <row r="5508" spans="1:6" hidden="1" x14ac:dyDescent="0.25">
      <c r="A5508" t="s">
        <v>664</v>
      </c>
      <c r="B5508" t="s">
        <v>216</v>
      </c>
      <c r="E5508" s="3">
        <f>HYPERLINK("https://sao.dolgi.msk.ru/account/1404110622/", 1404110622)</f>
        <v>1404110622</v>
      </c>
      <c r="F5508">
        <v>-1783.11</v>
      </c>
    </row>
    <row r="5509" spans="1:6" hidden="1" x14ac:dyDescent="0.25">
      <c r="A5509" t="s">
        <v>664</v>
      </c>
      <c r="B5509" t="s">
        <v>217</v>
      </c>
      <c r="E5509" s="3">
        <f>HYPERLINK("https://sao.dolgi.msk.ru/account/1404109402/", 1404109402)</f>
        <v>1404109402</v>
      </c>
      <c r="F5509">
        <v>-801.84</v>
      </c>
    </row>
    <row r="5510" spans="1:6" hidden="1" x14ac:dyDescent="0.25">
      <c r="A5510" t="s">
        <v>664</v>
      </c>
      <c r="B5510" t="s">
        <v>218</v>
      </c>
      <c r="E5510" s="3">
        <f>HYPERLINK("https://sao.dolgi.msk.ru/account/1404111713/", 1404111713)</f>
        <v>1404111713</v>
      </c>
      <c r="F5510">
        <v>0</v>
      </c>
    </row>
    <row r="5511" spans="1:6" hidden="1" x14ac:dyDescent="0.25">
      <c r="A5511" t="s">
        <v>664</v>
      </c>
      <c r="B5511" t="s">
        <v>219</v>
      </c>
      <c r="E5511" s="3">
        <f>HYPERLINK("https://sao.dolgi.msk.ru/account/1404110307/", 1404110307)</f>
        <v>1404110307</v>
      </c>
      <c r="F5511">
        <v>-273.82</v>
      </c>
    </row>
    <row r="5512" spans="1:6" hidden="1" x14ac:dyDescent="0.25">
      <c r="A5512" t="s">
        <v>664</v>
      </c>
      <c r="B5512" t="s">
        <v>220</v>
      </c>
      <c r="E5512" s="3">
        <f>HYPERLINK("https://sao.dolgi.msk.ru/account/1404111035/", 1404111035)</f>
        <v>1404111035</v>
      </c>
      <c r="F5512">
        <v>-1109.4000000000001</v>
      </c>
    </row>
    <row r="5513" spans="1:6" hidden="1" x14ac:dyDescent="0.25">
      <c r="A5513" t="s">
        <v>664</v>
      </c>
      <c r="B5513" t="s">
        <v>220</v>
      </c>
      <c r="E5513" s="3">
        <f>HYPERLINK("https://sao.dolgi.msk.ru/account/1404111254/", 1404111254)</f>
        <v>1404111254</v>
      </c>
      <c r="F5513">
        <v>-1772.82</v>
      </c>
    </row>
    <row r="5514" spans="1:6" hidden="1" x14ac:dyDescent="0.25">
      <c r="A5514" t="s">
        <v>664</v>
      </c>
      <c r="B5514" t="s">
        <v>221</v>
      </c>
      <c r="E5514" s="3">
        <f>HYPERLINK("https://sao.dolgi.msk.ru/account/1404109429/", 1404109429)</f>
        <v>1404109429</v>
      </c>
      <c r="F5514">
        <v>-7421.66</v>
      </c>
    </row>
    <row r="5515" spans="1:6" hidden="1" x14ac:dyDescent="0.25">
      <c r="A5515" t="s">
        <v>664</v>
      </c>
      <c r="B5515" t="s">
        <v>222</v>
      </c>
      <c r="E5515" s="3">
        <f>HYPERLINK("https://sao.dolgi.msk.ru/account/1404111369/", 1404111369)</f>
        <v>1404111369</v>
      </c>
      <c r="F5515">
        <v>-4735.7700000000004</v>
      </c>
    </row>
    <row r="5516" spans="1:6" hidden="1" x14ac:dyDescent="0.25">
      <c r="A5516" t="s">
        <v>664</v>
      </c>
      <c r="B5516" t="s">
        <v>223</v>
      </c>
      <c r="E5516" s="3">
        <f>HYPERLINK("https://sao.dolgi.msk.ru/account/1404111721/", 1404111721)</f>
        <v>1404111721</v>
      </c>
      <c r="F5516">
        <v>-3873.05</v>
      </c>
    </row>
    <row r="5517" spans="1:6" hidden="1" x14ac:dyDescent="0.25">
      <c r="A5517" t="s">
        <v>664</v>
      </c>
      <c r="B5517" t="s">
        <v>224</v>
      </c>
      <c r="E5517" s="3">
        <f>HYPERLINK("https://sao.dolgi.msk.ru/account/1404109437/", 1404109437)</f>
        <v>1404109437</v>
      </c>
      <c r="F5517">
        <v>-2448.0100000000002</v>
      </c>
    </row>
    <row r="5518" spans="1:6" hidden="1" x14ac:dyDescent="0.25">
      <c r="A5518" t="s">
        <v>664</v>
      </c>
      <c r="B5518" t="s">
        <v>225</v>
      </c>
      <c r="E5518" s="3">
        <f>HYPERLINK("https://sao.dolgi.msk.ru/account/1404111043/", 1404111043)</f>
        <v>1404111043</v>
      </c>
      <c r="F5518">
        <v>-2301</v>
      </c>
    </row>
    <row r="5519" spans="1:6" hidden="1" x14ac:dyDescent="0.25">
      <c r="A5519" t="s">
        <v>664</v>
      </c>
      <c r="B5519" t="s">
        <v>226</v>
      </c>
      <c r="E5519" s="3">
        <f>HYPERLINK("https://sao.dolgi.msk.ru/account/1404111377/", 1404111377)</f>
        <v>1404111377</v>
      </c>
      <c r="F5519">
        <v>-5688.1</v>
      </c>
    </row>
    <row r="5520" spans="1:6" hidden="1" x14ac:dyDescent="0.25">
      <c r="A5520" t="s">
        <v>664</v>
      </c>
      <c r="B5520" t="s">
        <v>227</v>
      </c>
      <c r="E5520" s="3">
        <f>HYPERLINK("https://sao.dolgi.msk.ru/account/1404111561/", 1404111561)</f>
        <v>1404111561</v>
      </c>
      <c r="F5520">
        <v>-3084.45</v>
      </c>
    </row>
    <row r="5521" spans="1:6" hidden="1" x14ac:dyDescent="0.25">
      <c r="A5521" t="s">
        <v>664</v>
      </c>
      <c r="B5521" t="s">
        <v>228</v>
      </c>
      <c r="E5521" s="3">
        <f>HYPERLINK("https://sao.dolgi.msk.ru/account/1404111385/", 1404111385)</f>
        <v>1404111385</v>
      </c>
      <c r="F5521">
        <v>-4987.92</v>
      </c>
    </row>
    <row r="5522" spans="1:6" hidden="1" x14ac:dyDescent="0.25">
      <c r="A5522" t="s">
        <v>665</v>
      </c>
      <c r="B5522" t="s">
        <v>5</v>
      </c>
      <c r="E5522" s="3">
        <f>HYPERLINK("https://sao.dolgi.msk.ru/account/1404112476/", 1404112476)</f>
        <v>1404112476</v>
      </c>
      <c r="F5522">
        <v>-8632.82</v>
      </c>
    </row>
    <row r="5523" spans="1:6" hidden="1" x14ac:dyDescent="0.25">
      <c r="A5523" t="s">
        <v>665</v>
      </c>
      <c r="B5523" t="s">
        <v>7</v>
      </c>
      <c r="E5523" s="3">
        <f>HYPERLINK("https://sao.dolgi.msk.ru/account/1404112177/", 1404112177)</f>
        <v>1404112177</v>
      </c>
      <c r="F5523">
        <v>0</v>
      </c>
    </row>
    <row r="5524" spans="1:6" x14ac:dyDescent="0.25">
      <c r="A5524" t="s">
        <v>665</v>
      </c>
      <c r="B5524" t="s">
        <v>8</v>
      </c>
      <c r="C5524" s="5" t="str">
        <f>" кв. "&amp;B5524</f>
        <v xml:space="preserve"> кв. 4</v>
      </c>
      <c r="D5524" s="5" t="str">
        <f>CONCATENATE(A5524,C5524)</f>
        <v>Ленинградское шоссе, дом 94 к.1 кв. 4</v>
      </c>
      <c r="E5524" s="3">
        <f>HYPERLINK("https://sao.dolgi.msk.ru/account/1404112409/", 1404112409)</f>
        <v>1404112409</v>
      </c>
      <c r="F5524">
        <v>3981.33</v>
      </c>
    </row>
    <row r="5525" spans="1:6" hidden="1" x14ac:dyDescent="0.25">
      <c r="A5525" t="s">
        <v>665</v>
      </c>
      <c r="B5525" t="s">
        <v>9</v>
      </c>
      <c r="E5525" s="3">
        <f>HYPERLINK("https://sao.dolgi.msk.ru/account/1404112556/", 1404112556)</f>
        <v>1404112556</v>
      </c>
      <c r="F5525">
        <v>-5652.09</v>
      </c>
    </row>
    <row r="5526" spans="1:6" hidden="1" x14ac:dyDescent="0.25">
      <c r="A5526" t="s">
        <v>665</v>
      </c>
      <c r="B5526" t="s">
        <v>10</v>
      </c>
      <c r="E5526" s="3">
        <f>HYPERLINK("https://sao.dolgi.msk.ru/account/1404112433/", 1404112433)</f>
        <v>1404112433</v>
      </c>
      <c r="F5526">
        <v>-9125.23</v>
      </c>
    </row>
    <row r="5527" spans="1:6" hidden="1" x14ac:dyDescent="0.25">
      <c r="A5527" t="s">
        <v>665</v>
      </c>
      <c r="B5527" t="s">
        <v>11</v>
      </c>
      <c r="E5527" s="3">
        <f>HYPERLINK("https://sao.dolgi.msk.ru/account/1404112898/", 1404112898)</f>
        <v>1404112898</v>
      </c>
      <c r="F5527">
        <v>-6727.73</v>
      </c>
    </row>
    <row r="5528" spans="1:6" hidden="1" x14ac:dyDescent="0.25">
      <c r="A5528" t="s">
        <v>665</v>
      </c>
      <c r="B5528" t="s">
        <v>12</v>
      </c>
      <c r="E5528" s="3">
        <f>HYPERLINK("https://sao.dolgi.msk.ru/account/1404112038/", 1404112038)</f>
        <v>1404112038</v>
      </c>
      <c r="F5528">
        <v>-5232.97</v>
      </c>
    </row>
    <row r="5529" spans="1:6" hidden="1" x14ac:dyDescent="0.25">
      <c r="A5529" t="s">
        <v>665</v>
      </c>
      <c r="B5529" t="s">
        <v>12</v>
      </c>
      <c r="E5529" s="3">
        <f>HYPERLINK("https://sao.dolgi.msk.ru/account/1404112919/", 1404112919)</f>
        <v>1404112919</v>
      </c>
      <c r="F5529">
        <v>-4054.9</v>
      </c>
    </row>
    <row r="5530" spans="1:6" hidden="1" x14ac:dyDescent="0.25">
      <c r="A5530" t="s">
        <v>665</v>
      </c>
      <c r="B5530" t="s">
        <v>12</v>
      </c>
      <c r="E5530" s="3">
        <f>HYPERLINK("https://sao.dolgi.msk.ru/account/1404112927/", 1404112927)</f>
        <v>1404112927</v>
      </c>
      <c r="F5530">
        <v>0</v>
      </c>
    </row>
    <row r="5531" spans="1:6" hidden="1" x14ac:dyDescent="0.25">
      <c r="A5531" t="s">
        <v>665</v>
      </c>
      <c r="B5531" t="s">
        <v>13</v>
      </c>
      <c r="E5531" s="3">
        <f>HYPERLINK("https://sao.dolgi.msk.ru/account/1404112468/", 1404112468)</f>
        <v>1404112468</v>
      </c>
      <c r="F5531">
        <v>0</v>
      </c>
    </row>
    <row r="5532" spans="1:6" hidden="1" x14ac:dyDescent="0.25">
      <c r="A5532" t="s">
        <v>665</v>
      </c>
      <c r="B5532" t="s">
        <v>14</v>
      </c>
      <c r="E5532" s="3">
        <f>HYPERLINK("https://sao.dolgi.msk.ru/account/1404112169/", 1404112169)</f>
        <v>1404112169</v>
      </c>
      <c r="F5532">
        <v>-5958.7</v>
      </c>
    </row>
    <row r="5533" spans="1:6" hidden="1" x14ac:dyDescent="0.25">
      <c r="A5533" t="s">
        <v>665</v>
      </c>
      <c r="B5533" t="s">
        <v>14</v>
      </c>
      <c r="E5533" s="3">
        <f>HYPERLINK("https://sao.dolgi.msk.ru/account/1404112572/", 1404112572)</f>
        <v>1404112572</v>
      </c>
      <c r="F5533">
        <v>-4374.28</v>
      </c>
    </row>
    <row r="5534" spans="1:6" hidden="1" x14ac:dyDescent="0.25">
      <c r="A5534" t="s">
        <v>665</v>
      </c>
      <c r="B5534" t="s">
        <v>15</v>
      </c>
      <c r="E5534" s="3">
        <f>HYPERLINK("https://sao.dolgi.msk.ru/account/1404112046/", 1404112046)</f>
        <v>1404112046</v>
      </c>
      <c r="F5534">
        <v>-2482.38</v>
      </c>
    </row>
    <row r="5535" spans="1:6" hidden="1" x14ac:dyDescent="0.25">
      <c r="A5535" t="s">
        <v>665</v>
      </c>
      <c r="B5535" t="s">
        <v>15</v>
      </c>
      <c r="E5535" s="3">
        <f>HYPERLINK("https://sao.dolgi.msk.ru/account/1404112599/", 1404112599)</f>
        <v>1404112599</v>
      </c>
      <c r="F5535">
        <v>-1540.84</v>
      </c>
    </row>
    <row r="5536" spans="1:6" hidden="1" x14ac:dyDescent="0.25">
      <c r="A5536" t="s">
        <v>665</v>
      </c>
      <c r="B5536" t="s">
        <v>15</v>
      </c>
      <c r="E5536" s="3">
        <f>HYPERLINK("https://sao.dolgi.msk.ru/account/1404112601/", 1404112601)</f>
        <v>1404112601</v>
      </c>
      <c r="F5536">
        <v>-3064.16</v>
      </c>
    </row>
    <row r="5537" spans="1:6" hidden="1" x14ac:dyDescent="0.25">
      <c r="A5537" t="s">
        <v>665</v>
      </c>
      <c r="B5537" t="s">
        <v>16</v>
      </c>
      <c r="E5537" s="3">
        <f>HYPERLINK("https://sao.dolgi.msk.ru/account/1404112783/", 1404112783)</f>
        <v>1404112783</v>
      </c>
      <c r="F5537">
        <v>-6193.42</v>
      </c>
    </row>
    <row r="5538" spans="1:6" hidden="1" x14ac:dyDescent="0.25">
      <c r="A5538" t="s">
        <v>665</v>
      </c>
      <c r="B5538" t="s">
        <v>18</v>
      </c>
      <c r="E5538" s="3">
        <f>HYPERLINK("https://sao.dolgi.msk.ru/account/1404112492/", 1404112492)</f>
        <v>1404112492</v>
      </c>
      <c r="F5538">
        <v>-5758.69</v>
      </c>
    </row>
    <row r="5539" spans="1:6" hidden="1" x14ac:dyDescent="0.25">
      <c r="A5539" t="s">
        <v>665</v>
      </c>
      <c r="B5539" t="s">
        <v>19</v>
      </c>
      <c r="E5539" s="3">
        <f>HYPERLINK("https://sao.dolgi.msk.ru/account/1404111887/", 1404111887)</f>
        <v>1404111887</v>
      </c>
      <c r="F5539">
        <v>-10528.24</v>
      </c>
    </row>
    <row r="5540" spans="1:6" hidden="1" x14ac:dyDescent="0.25">
      <c r="A5540" t="s">
        <v>665</v>
      </c>
      <c r="B5540" t="s">
        <v>20</v>
      </c>
      <c r="E5540" s="3">
        <f>HYPERLINK("https://sao.dolgi.msk.ru/account/1404112505/", 1404112505)</f>
        <v>1404112505</v>
      </c>
      <c r="F5540">
        <v>-1024.83</v>
      </c>
    </row>
    <row r="5541" spans="1:6" hidden="1" x14ac:dyDescent="0.25">
      <c r="A5541" t="s">
        <v>665</v>
      </c>
      <c r="B5541" t="s">
        <v>20</v>
      </c>
      <c r="E5541" s="3">
        <f>HYPERLINK("https://sao.dolgi.msk.ru/account/1404112791/", 1404112791)</f>
        <v>1404112791</v>
      </c>
      <c r="F5541">
        <v>-4100.0200000000004</v>
      </c>
    </row>
    <row r="5542" spans="1:6" hidden="1" x14ac:dyDescent="0.25">
      <c r="A5542" t="s">
        <v>665</v>
      </c>
      <c r="B5542" t="s">
        <v>21</v>
      </c>
      <c r="E5542" s="3">
        <f>HYPERLINK("https://sao.dolgi.msk.ru/account/1404112513/", 1404112513)</f>
        <v>1404112513</v>
      </c>
      <c r="F5542">
        <v>-9208.51</v>
      </c>
    </row>
    <row r="5543" spans="1:6" hidden="1" x14ac:dyDescent="0.25">
      <c r="A5543" t="s">
        <v>665</v>
      </c>
      <c r="B5543" t="s">
        <v>22</v>
      </c>
      <c r="E5543" s="3">
        <f>HYPERLINK("https://sao.dolgi.msk.ru/account/1404112273/", 1404112273)</f>
        <v>1404112273</v>
      </c>
      <c r="F5543">
        <v>0</v>
      </c>
    </row>
    <row r="5544" spans="1:6" hidden="1" x14ac:dyDescent="0.25">
      <c r="A5544" t="s">
        <v>665</v>
      </c>
      <c r="B5544" t="s">
        <v>23</v>
      </c>
      <c r="E5544" s="3">
        <f>HYPERLINK("https://sao.dolgi.msk.ru/account/1404112281/", 1404112281)</f>
        <v>1404112281</v>
      </c>
      <c r="F5544">
        <v>0</v>
      </c>
    </row>
    <row r="5545" spans="1:6" hidden="1" x14ac:dyDescent="0.25">
      <c r="A5545" t="s">
        <v>665</v>
      </c>
      <c r="B5545" t="s">
        <v>24</v>
      </c>
      <c r="E5545" s="3">
        <f>HYPERLINK("https://sao.dolgi.msk.ru/account/1404112054/", 1404112054)</f>
        <v>1404112054</v>
      </c>
      <c r="F5545">
        <v>-8255.42</v>
      </c>
    </row>
    <row r="5546" spans="1:6" hidden="1" x14ac:dyDescent="0.25">
      <c r="A5546" t="s">
        <v>665</v>
      </c>
      <c r="B5546" t="s">
        <v>25</v>
      </c>
      <c r="E5546" s="3">
        <f>HYPERLINK("https://sao.dolgi.msk.ru/account/1404112628/", 1404112628)</f>
        <v>1404112628</v>
      </c>
      <c r="F5546">
        <v>-9989.51</v>
      </c>
    </row>
    <row r="5547" spans="1:6" hidden="1" x14ac:dyDescent="0.25">
      <c r="A5547" t="s">
        <v>665</v>
      </c>
      <c r="B5547" t="s">
        <v>26</v>
      </c>
      <c r="E5547" s="3">
        <f>HYPERLINK("https://sao.dolgi.msk.ru/account/1404111895/", 1404111895)</f>
        <v>1404111895</v>
      </c>
      <c r="F5547">
        <v>0</v>
      </c>
    </row>
    <row r="5548" spans="1:6" hidden="1" x14ac:dyDescent="0.25">
      <c r="A5548" t="s">
        <v>665</v>
      </c>
      <c r="B5548" t="s">
        <v>27</v>
      </c>
      <c r="E5548" s="3">
        <f>HYPERLINK("https://sao.dolgi.msk.ru/account/1404111908/", 1404111908)</f>
        <v>1404111908</v>
      </c>
      <c r="F5548">
        <v>-2793.52</v>
      </c>
    </row>
    <row r="5549" spans="1:6" x14ac:dyDescent="0.25">
      <c r="A5549" t="s">
        <v>665</v>
      </c>
      <c r="B5549" t="s">
        <v>27</v>
      </c>
      <c r="C5549" s="5" t="str">
        <f>" кв. "&amp;B5549</f>
        <v xml:space="preserve"> кв. 23</v>
      </c>
      <c r="D5549" s="5" t="str">
        <f>CONCATENATE(A5549,C5549)</f>
        <v>Ленинградское шоссе, дом 94 к.1 кв. 23</v>
      </c>
      <c r="E5549" s="3">
        <f>HYPERLINK("https://sao.dolgi.msk.ru/account/1404111916/", 1404111916)</f>
        <v>1404111916</v>
      </c>
      <c r="F5549">
        <v>25123.55</v>
      </c>
    </row>
    <row r="5550" spans="1:6" hidden="1" x14ac:dyDescent="0.25">
      <c r="A5550" t="s">
        <v>665</v>
      </c>
      <c r="B5550" t="s">
        <v>27</v>
      </c>
      <c r="E5550" s="3">
        <f>HYPERLINK("https://sao.dolgi.msk.ru/account/1404112257/", 1404112257)</f>
        <v>1404112257</v>
      </c>
      <c r="F5550">
        <v>-1336.7</v>
      </c>
    </row>
    <row r="5551" spans="1:6" hidden="1" x14ac:dyDescent="0.25">
      <c r="A5551" t="s">
        <v>665</v>
      </c>
      <c r="B5551" t="s">
        <v>27</v>
      </c>
      <c r="E5551" s="3">
        <f>HYPERLINK("https://sao.dolgi.msk.ru/account/1404112302/", 1404112302)</f>
        <v>1404112302</v>
      </c>
      <c r="F5551">
        <v>-343.11</v>
      </c>
    </row>
    <row r="5552" spans="1:6" x14ac:dyDescent="0.25">
      <c r="A5552" t="s">
        <v>665</v>
      </c>
      <c r="B5552" t="s">
        <v>27</v>
      </c>
      <c r="C5552" s="5" t="str">
        <f>" кв. "&amp;B5552</f>
        <v xml:space="preserve"> кв. 23</v>
      </c>
      <c r="D5552" s="5" t="str">
        <f>CONCATENATE(A5552,C5552)</f>
        <v>Ленинградское шоссе, дом 94 к.1 кв. 23</v>
      </c>
      <c r="E5552" s="3">
        <f>HYPERLINK("https://sao.dolgi.msk.ru/account/1404112329/", 1404112329)</f>
        <v>1404112329</v>
      </c>
      <c r="F5552">
        <v>4112.4399999999996</v>
      </c>
    </row>
    <row r="5553" spans="1:6" hidden="1" x14ac:dyDescent="0.25">
      <c r="A5553" t="s">
        <v>665</v>
      </c>
      <c r="B5553" t="s">
        <v>28</v>
      </c>
      <c r="E5553" s="3">
        <f>HYPERLINK("https://sao.dolgi.msk.ru/account/1404112636/", 1404112636)</f>
        <v>1404112636</v>
      </c>
      <c r="F5553">
        <v>-8059.03</v>
      </c>
    </row>
    <row r="5554" spans="1:6" hidden="1" x14ac:dyDescent="0.25">
      <c r="A5554" t="s">
        <v>665</v>
      </c>
      <c r="B5554" t="s">
        <v>29</v>
      </c>
      <c r="E5554" s="3">
        <f>HYPERLINK("https://sao.dolgi.msk.ru/account/1404112062/", 1404112062)</f>
        <v>1404112062</v>
      </c>
      <c r="F5554">
        <v>-1057.97</v>
      </c>
    </row>
    <row r="5555" spans="1:6" x14ac:dyDescent="0.25">
      <c r="A5555" t="s">
        <v>665</v>
      </c>
      <c r="B5555" t="s">
        <v>30</v>
      </c>
      <c r="C5555" s="5" t="str">
        <f t="shared" ref="C5555:C5556" si="255">" кв. "&amp;B5555</f>
        <v xml:space="preserve"> кв. 26</v>
      </c>
      <c r="D5555" s="5" t="str">
        <f>CONCATENATE(A5555,C5555)</f>
        <v>Ленинградское шоссе, дом 94 к.1 кв. 26</v>
      </c>
      <c r="E5555" s="3">
        <f>HYPERLINK("https://sao.dolgi.msk.ru/account/1404112337/", 1404112337)</f>
        <v>1404112337</v>
      </c>
      <c r="F5555">
        <v>1583.6</v>
      </c>
    </row>
    <row r="5556" spans="1:6" x14ac:dyDescent="0.25">
      <c r="A5556" t="s">
        <v>665</v>
      </c>
      <c r="B5556" t="s">
        <v>31</v>
      </c>
      <c r="C5556" s="5" t="str">
        <f t="shared" si="255"/>
        <v xml:space="preserve"> кв. 27</v>
      </c>
      <c r="D5556" s="5" t="str">
        <f>CONCATENATE(A5556,C5556)</f>
        <v>Ленинградское шоссе, дом 94 к.1 кв. 27</v>
      </c>
      <c r="E5556" s="3">
        <f>HYPERLINK("https://sao.dolgi.msk.ru/account/1404112644/", 1404112644)</f>
        <v>1404112644</v>
      </c>
      <c r="F5556">
        <v>754.05</v>
      </c>
    </row>
    <row r="5557" spans="1:6" hidden="1" x14ac:dyDescent="0.25">
      <c r="A5557" t="s">
        <v>665</v>
      </c>
      <c r="B5557" t="s">
        <v>32</v>
      </c>
      <c r="E5557" s="3">
        <f>HYPERLINK("https://sao.dolgi.msk.ru/account/1404112804/", 1404112804)</f>
        <v>1404112804</v>
      </c>
      <c r="F5557">
        <v>-9122.48</v>
      </c>
    </row>
    <row r="5558" spans="1:6" hidden="1" x14ac:dyDescent="0.25">
      <c r="A5558" t="s">
        <v>665</v>
      </c>
      <c r="B5558" t="s">
        <v>33</v>
      </c>
      <c r="E5558" s="3">
        <f>HYPERLINK("https://sao.dolgi.msk.ru/account/1404112652/", 1404112652)</f>
        <v>1404112652</v>
      </c>
      <c r="F5558">
        <v>-15387.83</v>
      </c>
    </row>
    <row r="5559" spans="1:6" hidden="1" x14ac:dyDescent="0.25">
      <c r="A5559" t="s">
        <v>665</v>
      </c>
      <c r="B5559" t="s">
        <v>34</v>
      </c>
      <c r="E5559" s="3">
        <f>HYPERLINK("https://sao.dolgi.msk.ru/account/1404112724/", 1404112724)</f>
        <v>1404112724</v>
      </c>
      <c r="F5559">
        <v>-288.08</v>
      </c>
    </row>
    <row r="5560" spans="1:6" hidden="1" x14ac:dyDescent="0.25">
      <c r="A5560" t="s">
        <v>665</v>
      </c>
      <c r="B5560" t="s">
        <v>35</v>
      </c>
      <c r="E5560" s="3">
        <f>HYPERLINK("https://sao.dolgi.msk.ru/account/1404112345/", 1404112345)</f>
        <v>1404112345</v>
      </c>
      <c r="F5560">
        <v>-6893.85</v>
      </c>
    </row>
    <row r="5561" spans="1:6" hidden="1" x14ac:dyDescent="0.25">
      <c r="A5561" t="s">
        <v>665</v>
      </c>
      <c r="B5561" t="s">
        <v>36</v>
      </c>
      <c r="E5561" s="3">
        <f>HYPERLINK("https://sao.dolgi.msk.ru/account/1404112521/", 1404112521)</f>
        <v>1404112521</v>
      </c>
      <c r="F5561">
        <v>-11396.1</v>
      </c>
    </row>
    <row r="5562" spans="1:6" hidden="1" x14ac:dyDescent="0.25">
      <c r="A5562" t="s">
        <v>665</v>
      </c>
      <c r="B5562" t="s">
        <v>37</v>
      </c>
      <c r="E5562" s="3">
        <f>HYPERLINK("https://sao.dolgi.msk.ru/account/1404112353/", 1404112353)</f>
        <v>1404112353</v>
      </c>
      <c r="F5562">
        <v>-8220.15</v>
      </c>
    </row>
    <row r="5563" spans="1:6" hidden="1" x14ac:dyDescent="0.25">
      <c r="A5563" t="s">
        <v>665</v>
      </c>
      <c r="B5563" t="s">
        <v>38</v>
      </c>
      <c r="E5563" s="3">
        <f>HYPERLINK("https://sao.dolgi.msk.ru/account/1404112361/", 1404112361)</f>
        <v>1404112361</v>
      </c>
      <c r="F5563">
        <v>0</v>
      </c>
    </row>
    <row r="5564" spans="1:6" hidden="1" x14ac:dyDescent="0.25">
      <c r="A5564" t="s">
        <v>665</v>
      </c>
      <c r="B5564" t="s">
        <v>39</v>
      </c>
      <c r="E5564" s="3">
        <f>HYPERLINK("https://sao.dolgi.msk.ru/account/1404112679/", 1404112679)</f>
        <v>1404112679</v>
      </c>
      <c r="F5564">
        <v>-11816.35</v>
      </c>
    </row>
    <row r="5565" spans="1:6" hidden="1" x14ac:dyDescent="0.25">
      <c r="A5565" t="s">
        <v>665</v>
      </c>
      <c r="B5565" t="s">
        <v>40</v>
      </c>
      <c r="E5565" s="3">
        <f>HYPERLINK("https://sao.dolgi.msk.ru/account/1404112812/", 1404112812)</f>
        <v>1404112812</v>
      </c>
      <c r="F5565">
        <v>-7861.17</v>
      </c>
    </row>
    <row r="5566" spans="1:6" hidden="1" x14ac:dyDescent="0.25">
      <c r="A5566" t="s">
        <v>665</v>
      </c>
      <c r="B5566" t="s">
        <v>41</v>
      </c>
      <c r="E5566" s="3">
        <f>HYPERLINK("https://sao.dolgi.msk.ru/account/1404112388/", 1404112388)</f>
        <v>1404112388</v>
      </c>
      <c r="F5566">
        <v>0</v>
      </c>
    </row>
    <row r="5567" spans="1:6" hidden="1" x14ac:dyDescent="0.25">
      <c r="A5567" t="s">
        <v>665</v>
      </c>
      <c r="B5567" t="s">
        <v>42</v>
      </c>
      <c r="E5567" s="3">
        <f>HYPERLINK("https://sao.dolgi.msk.ru/account/1404112185/", 1404112185)</f>
        <v>1404112185</v>
      </c>
      <c r="F5567">
        <v>-4097.03</v>
      </c>
    </row>
    <row r="5568" spans="1:6" hidden="1" x14ac:dyDescent="0.25">
      <c r="A5568" t="s">
        <v>665</v>
      </c>
      <c r="B5568" t="s">
        <v>42</v>
      </c>
      <c r="E5568" s="3">
        <f>HYPERLINK("https://sao.dolgi.msk.ru/account/1404112396/", 1404112396)</f>
        <v>1404112396</v>
      </c>
      <c r="F5568">
        <v>0</v>
      </c>
    </row>
    <row r="5569" spans="1:6" hidden="1" x14ac:dyDescent="0.25">
      <c r="A5569" t="s">
        <v>665</v>
      </c>
      <c r="B5569" t="s">
        <v>43</v>
      </c>
      <c r="E5569" s="3">
        <f>HYPERLINK("https://sao.dolgi.msk.ru/account/1404112193/", 1404112193)</f>
        <v>1404112193</v>
      </c>
      <c r="F5569">
        <v>-285.43</v>
      </c>
    </row>
    <row r="5570" spans="1:6" x14ac:dyDescent="0.25">
      <c r="A5570" t="s">
        <v>665</v>
      </c>
      <c r="B5570" t="s">
        <v>44</v>
      </c>
      <c r="C5570" s="5" t="str">
        <f>" кв. "&amp;B5570</f>
        <v xml:space="preserve"> кв. 40</v>
      </c>
      <c r="D5570" s="5" t="str">
        <f>CONCATENATE(A5570,C5570)</f>
        <v>Ленинградское шоссе, дом 94 к.1 кв. 40</v>
      </c>
      <c r="E5570" s="3">
        <f>HYPERLINK("https://sao.dolgi.msk.ru/account/1404111924/", 1404111924)</f>
        <v>1404111924</v>
      </c>
      <c r="F5570">
        <v>82204.600000000006</v>
      </c>
    </row>
    <row r="5571" spans="1:6" hidden="1" x14ac:dyDescent="0.25">
      <c r="A5571" t="s">
        <v>665</v>
      </c>
      <c r="B5571" t="s">
        <v>45</v>
      </c>
      <c r="E5571" s="3">
        <f>HYPERLINK("https://sao.dolgi.msk.ru/account/1404112548/", 1404112548)</f>
        <v>1404112548</v>
      </c>
      <c r="F5571">
        <v>-7585.72</v>
      </c>
    </row>
    <row r="5572" spans="1:6" x14ac:dyDescent="0.25">
      <c r="A5572" t="s">
        <v>665</v>
      </c>
      <c r="B5572" t="s">
        <v>46</v>
      </c>
      <c r="C5572" s="5" t="str">
        <f>" кв. "&amp;B5572</f>
        <v xml:space="preserve"> кв. 42</v>
      </c>
      <c r="D5572" s="5" t="str">
        <f>CONCATENATE(A5572,C5572)</f>
        <v>Ленинградское шоссе, дом 94 к.1 кв. 42</v>
      </c>
      <c r="E5572" s="3">
        <f>HYPERLINK("https://sao.dolgi.msk.ru/account/1404112206/", 1404112206)</f>
        <v>1404112206</v>
      </c>
      <c r="F5572">
        <v>324364.14</v>
      </c>
    </row>
    <row r="5573" spans="1:6" hidden="1" x14ac:dyDescent="0.25">
      <c r="A5573" t="s">
        <v>665</v>
      </c>
      <c r="B5573" t="s">
        <v>47</v>
      </c>
      <c r="E5573" s="3">
        <f>HYPERLINK("https://sao.dolgi.msk.ru/account/1404112214/", 1404112214)</f>
        <v>1404112214</v>
      </c>
      <c r="F5573">
        <v>0</v>
      </c>
    </row>
    <row r="5574" spans="1:6" x14ac:dyDescent="0.25">
      <c r="A5574" t="s">
        <v>665</v>
      </c>
      <c r="B5574" t="s">
        <v>49</v>
      </c>
      <c r="C5574" s="5" t="str">
        <f>" кв. "&amp;B5574</f>
        <v xml:space="preserve"> кв. 45</v>
      </c>
      <c r="D5574" s="5" t="str">
        <f>CONCATENATE(A5574,C5574)</f>
        <v>Ленинградское шоссе, дом 94 к.1 кв. 45</v>
      </c>
      <c r="E5574" s="3">
        <f>HYPERLINK("https://sao.dolgi.msk.ru/account/1404112687/", 1404112687)</f>
        <v>1404112687</v>
      </c>
      <c r="F5574">
        <v>43466</v>
      </c>
    </row>
    <row r="5575" spans="1:6" hidden="1" x14ac:dyDescent="0.25">
      <c r="A5575" t="s">
        <v>665</v>
      </c>
      <c r="B5575" t="s">
        <v>50</v>
      </c>
      <c r="E5575" s="3">
        <f>HYPERLINK("https://sao.dolgi.msk.ru/account/1404112839/", 1404112839)</f>
        <v>1404112839</v>
      </c>
      <c r="F5575">
        <v>-10300.49</v>
      </c>
    </row>
    <row r="5576" spans="1:6" hidden="1" x14ac:dyDescent="0.25">
      <c r="A5576" t="s">
        <v>665</v>
      </c>
      <c r="B5576" t="s">
        <v>51</v>
      </c>
      <c r="E5576" s="3">
        <f>HYPERLINK("https://sao.dolgi.msk.ru/account/1404111932/", 1404111932)</f>
        <v>1404111932</v>
      </c>
      <c r="F5576">
        <v>-3849.84</v>
      </c>
    </row>
    <row r="5577" spans="1:6" hidden="1" x14ac:dyDescent="0.25">
      <c r="A5577" t="s">
        <v>665</v>
      </c>
      <c r="B5577" t="s">
        <v>52</v>
      </c>
      <c r="E5577" s="3">
        <f>HYPERLINK("https://sao.dolgi.msk.ru/account/1404111959/", 1404111959)</f>
        <v>1404111959</v>
      </c>
      <c r="F5577">
        <v>-2667.94</v>
      </c>
    </row>
    <row r="5578" spans="1:6" hidden="1" x14ac:dyDescent="0.25">
      <c r="A5578" t="s">
        <v>665</v>
      </c>
      <c r="B5578" t="s">
        <v>52</v>
      </c>
      <c r="E5578" s="3">
        <f>HYPERLINK("https://sao.dolgi.msk.ru/account/1404111967/", 1404111967)</f>
        <v>1404111967</v>
      </c>
      <c r="F5578">
        <v>-1916.46</v>
      </c>
    </row>
    <row r="5579" spans="1:6" x14ac:dyDescent="0.25">
      <c r="A5579" t="s">
        <v>665</v>
      </c>
      <c r="B5579" t="s">
        <v>52</v>
      </c>
      <c r="C5579" s="5" t="str">
        <f>" кв. "&amp;B5579</f>
        <v xml:space="preserve"> кв. 48</v>
      </c>
      <c r="D5579" s="5" t="str">
        <f>CONCATENATE(A5579,C5579)</f>
        <v>Ленинградское шоссе, дом 94 к.1 кв. 48</v>
      </c>
      <c r="E5579" s="3">
        <f>HYPERLINK("https://sao.dolgi.msk.ru/account/1404112142/", 1404112142)</f>
        <v>1404112142</v>
      </c>
      <c r="F5579">
        <v>3491.59</v>
      </c>
    </row>
    <row r="5580" spans="1:6" hidden="1" x14ac:dyDescent="0.25">
      <c r="A5580" t="s">
        <v>665</v>
      </c>
      <c r="B5580" t="s">
        <v>52</v>
      </c>
      <c r="E5580" s="3">
        <f>HYPERLINK("https://sao.dolgi.msk.ru/account/1404112417/", 1404112417)</f>
        <v>1404112417</v>
      </c>
      <c r="F5580">
        <v>-2043.2</v>
      </c>
    </row>
    <row r="5581" spans="1:6" hidden="1" x14ac:dyDescent="0.25">
      <c r="A5581" t="s">
        <v>665</v>
      </c>
      <c r="B5581" t="s">
        <v>52</v>
      </c>
      <c r="E5581" s="3">
        <f>HYPERLINK("https://sao.dolgi.msk.ru/account/1404112847/", 1404112847)</f>
        <v>1404112847</v>
      </c>
      <c r="F5581">
        <v>-3689.48</v>
      </c>
    </row>
    <row r="5582" spans="1:6" hidden="1" x14ac:dyDescent="0.25">
      <c r="A5582" t="s">
        <v>665</v>
      </c>
      <c r="B5582" t="s">
        <v>53</v>
      </c>
      <c r="E5582" s="3">
        <f>HYPERLINK("https://sao.dolgi.msk.ru/account/1404112855/", 1404112855)</f>
        <v>1404112855</v>
      </c>
      <c r="F5582">
        <v>-4601.53</v>
      </c>
    </row>
    <row r="5583" spans="1:6" x14ac:dyDescent="0.25">
      <c r="A5583" t="s">
        <v>665</v>
      </c>
      <c r="B5583" t="s">
        <v>54</v>
      </c>
      <c r="C5583" s="5" t="str">
        <f t="shared" ref="C5583:C5584" si="256">" кв. "&amp;B5583</f>
        <v xml:space="preserve"> кв. 50</v>
      </c>
      <c r="D5583" s="5" t="str">
        <f>CONCATENATE(A5583,C5583)</f>
        <v>Ленинградское шоссе, дом 94 к.1 кв. 50</v>
      </c>
      <c r="E5583" s="3">
        <f>HYPERLINK("https://sao.dolgi.msk.ru/account/1404111975/", 1404111975)</f>
        <v>1404111975</v>
      </c>
      <c r="F5583">
        <v>216675.08</v>
      </c>
    </row>
    <row r="5584" spans="1:6" x14ac:dyDescent="0.25">
      <c r="A5584" t="s">
        <v>665</v>
      </c>
      <c r="B5584" t="s">
        <v>54</v>
      </c>
      <c r="C5584" s="5" t="str">
        <f t="shared" si="256"/>
        <v xml:space="preserve"> кв. 50</v>
      </c>
      <c r="D5584" s="5" t="str">
        <f>CONCATENATE(A5584,C5584)</f>
        <v>Ленинградское шоссе, дом 94 к.1 кв. 50</v>
      </c>
      <c r="E5584" s="3">
        <f>HYPERLINK("https://sao.dolgi.msk.ru/account/1404111983/", 1404111983)</f>
        <v>1404111983</v>
      </c>
      <c r="F5584">
        <v>667.16</v>
      </c>
    </row>
    <row r="5585" spans="1:6" hidden="1" x14ac:dyDescent="0.25">
      <c r="A5585" t="s">
        <v>665</v>
      </c>
      <c r="B5585" t="s">
        <v>54</v>
      </c>
      <c r="E5585" s="3">
        <f>HYPERLINK("https://sao.dolgi.msk.ru/account/1404112089/", 1404112089)</f>
        <v>1404112089</v>
      </c>
      <c r="F5585">
        <v>-2146.98</v>
      </c>
    </row>
    <row r="5586" spans="1:6" hidden="1" x14ac:dyDescent="0.25">
      <c r="A5586" t="s">
        <v>665</v>
      </c>
      <c r="B5586" t="s">
        <v>54</v>
      </c>
      <c r="E5586" s="3">
        <f>HYPERLINK("https://sao.dolgi.msk.ru/account/1404112265/", 1404112265)</f>
        <v>1404112265</v>
      </c>
      <c r="F5586">
        <v>-752.31</v>
      </c>
    </row>
    <row r="5587" spans="1:6" x14ac:dyDescent="0.25">
      <c r="A5587" t="s">
        <v>665</v>
      </c>
      <c r="B5587" t="s">
        <v>54</v>
      </c>
      <c r="C5587" s="5" t="str">
        <f t="shared" ref="C5587:C5591" si="257">" кв. "&amp;B5587</f>
        <v xml:space="preserve"> кв. 50</v>
      </c>
      <c r="D5587" s="5" t="str">
        <f>CONCATENATE(A5587,C5587)</f>
        <v>Ленинградское шоссе, дом 94 к.1 кв. 50</v>
      </c>
      <c r="E5587" s="3">
        <f>HYPERLINK("https://sao.dolgi.msk.ru/account/1404112425/", 1404112425)</f>
        <v>1404112425</v>
      </c>
      <c r="F5587">
        <v>1781.43</v>
      </c>
    </row>
    <row r="5588" spans="1:6" x14ac:dyDescent="0.25">
      <c r="A5588" t="s">
        <v>665</v>
      </c>
      <c r="B5588" t="s">
        <v>54</v>
      </c>
      <c r="C5588" s="5" t="str">
        <f t="shared" si="257"/>
        <v xml:space="preserve"> кв. 50</v>
      </c>
      <c r="D5588" s="5" t="str">
        <f>CONCATENATE(A5588,C5588)</f>
        <v>Ленинградское шоссе, дом 94 к.1 кв. 50</v>
      </c>
      <c r="E5588" s="3">
        <f>HYPERLINK("https://sao.dolgi.msk.ru/account/1404112716/", 1404112716)</f>
        <v>1404112716</v>
      </c>
      <c r="F5588">
        <v>4638.29</v>
      </c>
    </row>
    <row r="5589" spans="1:6" x14ac:dyDescent="0.25">
      <c r="A5589" t="s">
        <v>665</v>
      </c>
      <c r="B5589" t="s">
        <v>54</v>
      </c>
      <c r="C5589" s="5" t="str">
        <f t="shared" si="257"/>
        <v xml:space="preserve"> кв. 50</v>
      </c>
      <c r="D5589" s="5" t="str">
        <f>CONCATENATE(A5589,C5589)</f>
        <v>Ленинградское шоссе, дом 94 к.1 кв. 50</v>
      </c>
      <c r="E5589" s="3">
        <f>HYPERLINK("https://sao.dolgi.msk.ru/account/1404112863/", 1404112863)</f>
        <v>1404112863</v>
      </c>
      <c r="F5589">
        <v>38065.1</v>
      </c>
    </row>
    <row r="5590" spans="1:6" x14ac:dyDescent="0.25">
      <c r="A5590" t="s">
        <v>665</v>
      </c>
      <c r="B5590" t="s">
        <v>55</v>
      </c>
      <c r="C5590" s="5" t="str">
        <f t="shared" si="257"/>
        <v xml:space="preserve"> кв. 51</v>
      </c>
      <c r="D5590" s="5" t="str">
        <f>CONCATENATE(A5590,C5590)</f>
        <v>Ленинградское шоссе, дом 94 к.1 кв. 51</v>
      </c>
      <c r="E5590" s="3">
        <f>HYPERLINK("https://sao.dolgi.msk.ru/account/1404112097/", 1404112097)</f>
        <v>1404112097</v>
      </c>
      <c r="F5590">
        <v>26689.52</v>
      </c>
    </row>
    <row r="5591" spans="1:6" x14ac:dyDescent="0.25">
      <c r="A5591" t="s">
        <v>665</v>
      </c>
      <c r="B5591" t="s">
        <v>56</v>
      </c>
      <c r="C5591" s="5" t="str">
        <f t="shared" si="257"/>
        <v xml:space="preserve"> кв. 52</v>
      </c>
      <c r="D5591" s="5" t="str">
        <f>CONCATENATE(A5591,C5591)</f>
        <v>Ленинградское шоссе, дом 94 к.1 кв. 52</v>
      </c>
      <c r="E5591" s="3">
        <f>HYPERLINK("https://sao.dolgi.msk.ru/account/1404112695/", 1404112695)</f>
        <v>1404112695</v>
      </c>
      <c r="F5591">
        <v>46593.07</v>
      </c>
    </row>
    <row r="5592" spans="1:6" hidden="1" x14ac:dyDescent="0.25">
      <c r="A5592" t="s">
        <v>665</v>
      </c>
      <c r="B5592" t="s">
        <v>56</v>
      </c>
      <c r="E5592" s="3">
        <f>HYPERLINK("https://sao.dolgi.msk.ru/account/1404155468/", 1404155468)</f>
        <v>1404155468</v>
      </c>
      <c r="F5592">
        <v>-6122.1</v>
      </c>
    </row>
    <row r="5593" spans="1:6" hidden="1" x14ac:dyDescent="0.25">
      <c r="A5593" t="s">
        <v>665</v>
      </c>
      <c r="B5593" t="s">
        <v>57</v>
      </c>
      <c r="E5593" s="3">
        <f>HYPERLINK("https://sao.dolgi.msk.ru/account/1404112732/", 1404112732)</f>
        <v>1404112732</v>
      </c>
      <c r="F5593">
        <v>0</v>
      </c>
    </row>
    <row r="5594" spans="1:6" hidden="1" x14ac:dyDescent="0.25">
      <c r="A5594" t="s">
        <v>665</v>
      </c>
      <c r="B5594" t="s">
        <v>58</v>
      </c>
      <c r="E5594" s="3">
        <f>HYPERLINK("https://sao.dolgi.msk.ru/account/1404112249/", 1404112249)</f>
        <v>1404112249</v>
      </c>
      <c r="F5594">
        <v>-8725.07</v>
      </c>
    </row>
    <row r="5595" spans="1:6" hidden="1" x14ac:dyDescent="0.25">
      <c r="A5595" t="s">
        <v>665</v>
      </c>
      <c r="B5595" t="s">
        <v>59</v>
      </c>
      <c r="E5595" s="3">
        <f>HYPERLINK("https://sao.dolgi.msk.ru/account/1404112118/", 1404112118)</f>
        <v>1404112118</v>
      </c>
      <c r="F5595">
        <v>0</v>
      </c>
    </row>
    <row r="5596" spans="1:6" hidden="1" x14ac:dyDescent="0.25">
      <c r="A5596" t="s">
        <v>665</v>
      </c>
      <c r="B5596" t="s">
        <v>60</v>
      </c>
      <c r="E5596" s="3">
        <f>HYPERLINK("https://sao.dolgi.msk.ru/account/1404112126/", 1404112126)</f>
        <v>1404112126</v>
      </c>
      <c r="F5596">
        <v>-4724.7299999999996</v>
      </c>
    </row>
    <row r="5597" spans="1:6" hidden="1" x14ac:dyDescent="0.25">
      <c r="A5597" t="s">
        <v>665</v>
      </c>
      <c r="B5597" t="s">
        <v>61</v>
      </c>
      <c r="E5597" s="3">
        <f>HYPERLINK("https://sao.dolgi.msk.ru/account/1404111991/", 1404111991)</f>
        <v>1404111991</v>
      </c>
      <c r="F5597">
        <v>-8388.8700000000008</v>
      </c>
    </row>
    <row r="5598" spans="1:6" hidden="1" x14ac:dyDescent="0.25">
      <c r="A5598" t="s">
        <v>665</v>
      </c>
      <c r="B5598" t="s">
        <v>62</v>
      </c>
      <c r="E5598" s="3">
        <f>HYPERLINK("https://sao.dolgi.msk.ru/account/1404112134/", 1404112134)</f>
        <v>1404112134</v>
      </c>
      <c r="F5598">
        <v>0</v>
      </c>
    </row>
    <row r="5599" spans="1:6" hidden="1" x14ac:dyDescent="0.25">
      <c r="A5599" t="s">
        <v>665</v>
      </c>
      <c r="B5599" t="s">
        <v>63</v>
      </c>
      <c r="E5599" s="3">
        <f>HYPERLINK("https://sao.dolgi.msk.ru/account/1404112003/", 1404112003)</f>
        <v>1404112003</v>
      </c>
      <c r="F5599">
        <v>-5977.5</v>
      </c>
    </row>
    <row r="5600" spans="1:6" hidden="1" x14ac:dyDescent="0.25">
      <c r="A5600" t="s">
        <v>665</v>
      </c>
      <c r="B5600" t="s">
        <v>64</v>
      </c>
      <c r="E5600" s="3">
        <f>HYPERLINK("https://sao.dolgi.msk.ru/account/1404112441/", 1404112441)</f>
        <v>1404112441</v>
      </c>
      <c r="F5600">
        <v>-7709.03</v>
      </c>
    </row>
    <row r="5601" spans="1:6" hidden="1" x14ac:dyDescent="0.25">
      <c r="A5601" t="s">
        <v>665</v>
      </c>
      <c r="B5601" t="s">
        <v>65</v>
      </c>
      <c r="E5601" s="3">
        <f>HYPERLINK("https://sao.dolgi.msk.ru/account/1404112759/", 1404112759)</f>
        <v>1404112759</v>
      </c>
      <c r="F5601">
        <v>-7664.14</v>
      </c>
    </row>
    <row r="5602" spans="1:6" x14ac:dyDescent="0.25">
      <c r="A5602" t="s">
        <v>665</v>
      </c>
      <c r="B5602" t="s">
        <v>66</v>
      </c>
      <c r="C5602" s="5" t="str">
        <f>" кв. "&amp;B5602</f>
        <v xml:space="preserve"> кв. 62</v>
      </c>
      <c r="D5602" s="5" t="str">
        <f>CONCATENATE(A5602,C5602)</f>
        <v>Ленинградское шоссе, дом 94 к.1 кв. 62</v>
      </c>
      <c r="E5602" s="3">
        <f>HYPERLINK("https://sao.dolgi.msk.ru/account/1404112564/", 1404112564)</f>
        <v>1404112564</v>
      </c>
      <c r="F5602">
        <v>5254.35</v>
      </c>
    </row>
    <row r="5603" spans="1:6" hidden="1" x14ac:dyDescent="0.25">
      <c r="A5603" t="s">
        <v>665</v>
      </c>
      <c r="B5603" t="s">
        <v>67</v>
      </c>
      <c r="E5603" s="3">
        <f>HYPERLINK("https://sao.dolgi.msk.ru/account/1404112222/", 1404112222)</f>
        <v>1404112222</v>
      </c>
      <c r="F5603">
        <v>-7212.73</v>
      </c>
    </row>
    <row r="5604" spans="1:6" hidden="1" x14ac:dyDescent="0.25">
      <c r="A5604" t="s">
        <v>665</v>
      </c>
      <c r="B5604" t="s">
        <v>68</v>
      </c>
      <c r="E5604" s="3">
        <f>HYPERLINK("https://sao.dolgi.msk.ru/account/1404112767/", 1404112767)</f>
        <v>1404112767</v>
      </c>
      <c r="F5604">
        <v>-12168.2</v>
      </c>
    </row>
    <row r="5605" spans="1:6" hidden="1" x14ac:dyDescent="0.25">
      <c r="A5605" t="s">
        <v>665</v>
      </c>
      <c r="B5605" t="s">
        <v>69</v>
      </c>
      <c r="E5605" s="3">
        <f>HYPERLINK("https://sao.dolgi.msk.ru/account/1404112011/", 1404112011)</f>
        <v>1404112011</v>
      </c>
      <c r="F5605">
        <v>-3311.83</v>
      </c>
    </row>
    <row r="5606" spans="1:6" hidden="1" x14ac:dyDescent="0.25">
      <c r="A5606" t="s">
        <v>665</v>
      </c>
      <c r="B5606" t="s">
        <v>69</v>
      </c>
      <c r="E5606" s="3">
        <f>HYPERLINK("https://sao.dolgi.msk.ru/account/1404112708/", 1404112708)</f>
        <v>1404112708</v>
      </c>
      <c r="F5606">
        <v>-141.56</v>
      </c>
    </row>
    <row r="5607" spans="1:6" hidden="1" x14ac:dyDescent="0.25">
      <c r="A5607" t="s">
        <v>665</v>
      </c>
      <c r="B5607" t="s">
        <v>69</v>
      </c>
      <c r="E5607" s="3">
        <f>HYPERLINK("https://sao.dolgi.msk.ru/account/1404112871/", 1404112871)</f>
        <v>1404112871</v>
      </c>
      <c r="F5607">
        <v>0</v>
      </c>
    </row>
    <row r="5608" spans="1:6" hidden="1" x14ac:dyDescent="0.25">
      <c r="A5608" t="s">
        <v>665</v>
      </c>
      <c r="B5608" t="s">
        <v>70</v>
      </c>
      <c r="E5608" s="3">
        <f>HYPERLINK("https://sao.dolgi.msk.ru/account/1404112775/", 1404112775)</f>
        <v>1404112775</v>
      </c>
      <c r="F5608">
        <v>-4535.26</v>
      </c>
    </row>
    <row r="5609" spans="1:6" hidden="1" x14ac:dyDescent="0.25">
      <c r="A5609" t="s">
        <v>666</v>
      </c>
      <c r="B5609" t="s">
        <v>5</v>
      </c>
      <c r="E5609" s="3">
        <f>HYPERLINK("https://sao.dolgi.msk.ru/account/1404114033/", 1404114033)</f>
        <v>1404114033</v>
      </c>
      <c r="F5609">
        <v>-4027.76</v>
      </c>
    </row>
    <row r="5610" spans="1:6" hidden="1" x14ac:dyDescent="0.25">
      <c r="A5610" t="s">
        <v>666</v>
      </c>
      <c r="B5610" t="s">
        <v>6</v>
      </c>
      <c r="E5610" s="3">
        <f>HYPERLINK("https://sao.dolgi.msk.ru/account/1404113743/", 1404113743)</f>
        <v>1404113743</v>
      </c>
      <c r="F5610">
        <v>-4742.6000000000004</v>
      </c>
    </row>
    <row r="5611" spans="1:6" x14ac:dyDescent="0.25">
      <c r="A5611" t="s">
        <v>666</v>
      </c>
      <c r="B5611" t="s">
        <v>7</v>
      </c>
      <c r="C5611" s="5" t="str">
        <f>" кв. "&amp;B5611</f>
        <v xml:space="preserve"> кв. 3</v>
      </c>
      <c r="D5611" s="5" t="str">
        <f>CONCATENATE(A5611,C5611)</f>
        <v>Ленинградское шоссе, дом 96 к.1 кв. 3</v>
      </c>
      <c r="E5611" s="3">
        <f>HYPERLINK("https://sao.dolgi.msk.ru/account/1404113014/", 1404113014)</f>
        <v>1404113014</v>
      </c>
      <c r="F5611">
        <v>13449.1</v>
      </c>
    </row>
    <row r="5612" spans="1:6" hidden="1" x14ac:dyDescent="0.25">
      <c r="A5612" t="s">
        <v>666</v>
      </c>
      <c r="B5612" t="s">
        <v>8</v>
      </c>
      <c r="E5612" s="3">
        <f>HYPERLINK("https://sao.dolgi.msk.ru/account/1404114148/", 1404114148)</f>
        <v>1404114148</v>
      </c>
      <c r="F5612">
        <v>-7763.23</v>
      </c>
    </row>
    <row r="5613" spans="1:6" x14ac:dyDescent="0.25">
      <c r="A5613" t="s">
        <v>666</v>
      </c>
      <c r="B5613" t="s">
        <v>9</v>
      </c>
      <c r="C5613" s="5" t="str">
        <f t="shared" ref="C5613:C5614" si="258">" кв. "&amp;B5613</f>
        <v xml:space="preserve"> кв. 5</v>
      </c>
      <c r="D5613" s="5" t="str">
        <f>CONCATENATE(A5613,C5613)</f>
        <v>Ленинградское шоссе, дом 96 к.1 кв. 5</v>
      </c>
      <c r="E5613" s="3">
        <f>HYPERLINK("https://sao.dolgi.msk.ru/account/1404113065/", 1404113065)</f>
        <v>1404113065</v>
      </c>
      <c r="F5613">
        <v>9471.06</v>
      </c>
    </row>
    <row r="5614" spans="1:6" x14ac:dyDescent="0.25">
      <c r="A5614" t="s">
        <v>666</v>
      </c>
      <c r="B5614" t="s">
        <v>9</v>
      </c>
      <c r="C5614" s="5" t="str">
        <f t="shared" si="258"/>
        <v xml:space="preserve"> кв. 5</v>
      </c>
      <c r="D5614" s="5" t="str">
        <f>CONCATENATE(A5614,C5614)</f>
        <v>Ленинградское шоссе, дом 96 к.1 кв. 5</v>
      </c>
      <c r="E5614" s="3">
        <f>HYPERLINK("https://sao.dolgi.msk.ru/account/1404114287/", 1404114287)</f>
        <v>1404114287</v>
      </c>
      <c r="F5614">
        <v>13430.21</v>
      </c>
    </row>
    <row r="5615" spans="1:6" hidden="1" x14ac:dyDescent="0.25">
      <c r="A5615" t="s">
        <v>666</v>
      </c>
      <c r="B5615" t="s">
        <v>10</v>
      </c>
      <c r="E5615" s="3">
        <f>HYPERLINK("https://sao.dolgi.msk.ru/account/1404114412/", 1404114412)</f>
        <v>1404114412</v>
      </c>
      <c r="F5615">
        <v>-242.58</v>
      </c>
    </row>
    <row r="5616" spans="1:6" hidden="1" x14ac:dyDescent="0.25">
      <c r="A5616" t="s">
        <v>666</v>
      </c>
      <c r="B5616" t="s">
        <v>11</v>
      </c>
      <c r="E5616" s="3">
        <f>HYPERLINK("https://sao.dolgi.msk.ru/account/1404113129/", 1404113129)</f>
        <v>1404113129</v>
      </c>
      <c r="F5616">
        <v>-8144.13</v>
      </c>
    </row>
    <row r="5617" spans="1:6" hidden="1" x14ac:dyDescent="0.25">
      <c r="A5617" t="s">
        <v>666</v>
      </c>
      <c r="B5617" t="s">
        <v>12</v>
      </c>
      <c r="E5617" s="3">
        <f>HYPERLINK("https://sao.dolgi.msk.ru/account/1404114228/", 1404114228)</f>
        <v>1404114228</v>
      </c>
      <c r="F5617">
        <v>-6630.1</v>
      </c>
    </row>
    <row r="5618" spans="1:6" hidden="1" x14ac:dyDescent="0.25">
      <c r="A5618" t="s">
        <v>666</v>
      </c>
      <c r="B5618" t="s">
        <v>13</v>
      </c>
      <c r="E5618" s="3">
        <f>HYPERLINK("https://sao.dolgi.msk.ru/account/1404113655/", 1404113655)</f>
        <v>1404113655</v>
      </c>
      <c r="F5618">
        <v>0</v>
      </c>
    </row>
    <row r="5619" spans="1:6" hidden="1" x14ac:dyDescent="0.25">
      <c r="A5619" t="s">
        <v>666</v>
      </c>
      <c r="B5619" t="s">
        <v>14</v>
      </c>
      <c r="E5619" s="3">
        <f>HYPERLINK("https://sao.dolgi.msk.ru/account/1404113321/", 1404113321)</f>
        <v>1404113321</v>
      </c>
      <c r="F5619">
        <v>-5824.55</v>
      </c>
    </row>
    <row r="5620" spans="1:6" hidden="1" x14ac:dyDescent="0.25">
      <c r="A5620" t="s">
        <v>666</v>
      </c>
      <c r="B5620" t="s">
        <v>15</v>
      </c>
      <c r="E5620" s="3">
        <f>HYPERLINK("https://sao.dolgi.msk.ru/account/1404112986/", 1404112986)</f>
        <v>1404112986</v>
      </c>
      <c r="F5620">
        <v>0</v>
      </c>
    </row>
    <row r="5621" spans="1:6" hidden="1" x14ac:dyDescent="0.25">
      <c r="A5621" t="s">
        <v>666</v>
      </c>
      <c r="B5621" t="s">
        <v>16</v>
      </c>
      <c r="E5621" s="3">
        <f>HYPERLINK("https://sao.dolgi.msk.ru/account/1404113532/", 1404113532)</f>
        <v>1404113532</v>
      </c>
      <c r="F5621">
        <v>-7357</v>
      </c>
    </row>
    <row r="5622" spans="1:6" hidden="1" x14ac:dyDescent="0.25">
      <c r="A5622" t="s">
        <v>666</v>
      </c>
      <c r="B5622" t="s">
        <v>17</v>
      </c>
      <c r="E5622" s="3">
        <f>HYPERLINK("https://sao.dolgi.msk.ru/account/1404100811/", 1404100811)</f>
        <v>1404100811</v>
      </c>
      <c r="F5622">
        <v>-2795.02</v>
      </c>
    </row>
    <row r="5623" spans="1:6" hidden="1" x14ac:dyDescent="0.25">
      <c r="A5623" t="s">
        <v>666</v>
      </c>
      <c r="B5623" t="s">
        <v>17</v>
      </c>
      <c r="E5623" s="3">
        <f>HYPERLINK("https://sao.dolgi.msk.ru/account/1404113196/", 1404113196)</f>
        <v>1404113196</v>
      </c>
      <c r="F5623">
        <v>0</v>
      </c>
    </row>
    <row r="5624" spans="1:6" hidden="1" x14ac:dyDescent="0.25">
      <c r="A5624" t="s">
        <v>666</v>
      </c>
      <c r="B5624" t="s">
        <v>17</v>
      </c>
      <c r="E5624" s="3">
        <f>HYPERLINK("https://sao.dolgi.msk.ru/account/1404114092/", 1404114092)</f>
        <v>1404114092</v>
      </c>
      <c r="F5624">
        <v>-1397.51</v>
      </c>
    </row>
    <row r="5625" spans="1:6" hidden="1" x14ac:dyDescent="0.25">
      <c r="A5625" t="s">
        <v>666</v>
      </c>
      <c r="B5625" t="s">
        <v>18</v>
      </c>
      <c r="E5625" s="3">
        <f>HYPERLINK("https://sao.dolgi.msk.ru/account/1404114332/", 1404114332)</f>
        <v>1404114332</v>
      </c>
      <c r="F5625">
        <v>-4469.3500000000004</v>
      </c>
    </row>
    <row r="5626" spans="1:6" hidden="1" x14ac:dyDescent="0.25">
      <c r="A5626" t="s">
        <v>666</v>
      </c>
      <c r="B5626" t="s">
        <v>19</v>
      </c>
      <c r="E5626" s="3">
        <f>HYPERLINK("https://sao.dolgi.msk.ru/account/1404113727/", 1404113727)</f>
        <v>1404113727</v>
      </c>
      <c r="F5626">
        <v>-7066.15</v>
      </c>
    </row>
    <row r="5627" spans="1:6" hidden="1" x14ac:dyDescent="0.25">
      <c r="A5627" t="s">
        <v>666</v>
      </c>
      <c r="B5627" t="s">
        <v>20</v>
      </c>
      <c r="E5627" s="3">
        <f>HYPERLINK("https://sao.dolgi.msk.ru/account/1404113006/", 1404113006)</f>
        <v>1404113006</v>
      </c>
      <c r="F5627">
        <v>0</v>
      </c>
    </row>
    <row r="5628" spans="1:6" hidden="1" x14ac:dyDescent="0.25">
      <c r="A5628" t="s">
        <v>666</v>
      </c>
      <c r="B5628" t="s">
        <v>20</v>
      </c>
      <c r="E5628" s="3">
        <f>HYPERLINK("https://sao.dolgi.msk.ru/account/1404114295/", 1404114295)</f>
        <v>1404114295</v>
      </c>
      <c r="F5628">
        <v>0</v>
      </c>
    </row>
    <row r="5629" spans="1:6" x14ac:dyDescent="0.25">
      <c r="A5629" t="s">
        <v>666</v>
      </c>
      <c r="B5629" t="s">
        <v>21</v>
      </c>
      <c r="C5629" s="5" t="str">
        <f>" кв. "&amp;B5629</f>
        <v xml:space="preserve"> кв. 17</v>
      </c>
      <c r="D5629" s="5" t="str">
        <f>CONCATENATE(A5629,C5629)</f>
        <v>Ленинградское шоссе, дом 96 к.1 кв. 17</v>
      </c>
      <c r="E5629" s="3">
        <f>HYPERLINK("https://sao.dolgi.msk.ru/account/1404114359/", 1404114359)</f>
        <v>1404114359</v>
      </c>
      <c r="F5629">
        <v>6883.69</v>
      </c>
    </row>
    <row r="5630" spans="1:6" hidden="1" x14ac:dyDescent="0.25">
      <c r="A5630" t="s">
        <v>666</v>
      </c>
      <c r="B5630" t="s">
        <v>22</v>
      </c>
      <c r="E5630" s="3">
        <f>HYPERLINK("https://sao.dolgi.msk.ru/account/1404113233/", 1404113233)</f>
        <v>1404113233</v>
      </c>
      <c r="F5630">
        <v>-4207.8500000000004</v>
      </c>
    </row>
    <row r="5631" spans="1:6" hidden="1" x14ac:dyDescent="0.25">
      <c r="A5631" t="s">
        <v>666</v>
      </c>
      <c r="B5631" t="s">
        <v>23</v>
      </c>
      <c r="E5631" s="3">
        <f>HYPERLINK("https://sao.dolgi.msk.ru/account/1404113735/", 1404113735)</f>
        <v>1404113735</v>
      </c>
      <c r="F5631">
        <v>0</v>
      </c>
    </row>
    <row r="5632" spans="1:6" hidden="1" x14ac:dyDescent="0.25">
      <c r="A5632" t="s">
        <v>666</v>
      </c>
      <c r="B5632" t="s">
        <v>24</v>
      </c>
      <c r="E5632" s="3">
        <f>HYPERLINK("https://sao.dolgi.msk.ru/account/1404113372/", 1404113372)</f>
        <v>1404113372</v>
      </c>
      <c r="F5632">
        <v>-7422.51</v>
      </c>
    </row>
    <row r="5633" spans="1:6" hidden="1" x14ac:dyDescent="0.25">
      <c r="A5633" t="s">
        <v>666</v>
      </c>
      <c r="B5633" t="s">
        <v>25</v>
      </c>
      <c r="E5633" s="3">
        <f>HYPERLINK("https://sao.dolgi.msk.ru/account/1404113241/", 1404113241)</f>
        <v>1404113241</v>
      </c>
      <c r="F5633">
        <v>-4871.37</v>
      </c>
    </row>
    <row r="5634" spans="1:6" hidden="1" x14ac:dyDescent="0.25">
      <c r="A5634" t="s">
        <v>666</v>
      </c>
      <c r="B5634" t="s">
        <v>26</v>
      </c>
      <c r="E5634" s="3">
        <f>HYPERLINK("https://sao.dolgi.msk.ru/account/1404113751/", 1404113751)</f>
        <v>1404113751</v>
      </c>
      <c r="F5634">
        <v>-6184.9</v>
      </c>
    </row>
    <row r="5635" spans="1:6" hidden="1" x14ac:dyDescent="0.25">
      <c r="A5635" t="s">
        <v>666</v>
      </c>
      <c r="B5635" t="s">
        <v>27</v>
      </c>
      <c r="E5635" s="3">
        <f>HYPERLINK("https://sao.dolgi.msk.ru/account/1404113268/", 1404113268)</f>
        <v>1404113268</v>
      </c>
      <c r="F5635">
        <v>-8266.69</v>
      </c>
    </row>
    <row r="5636" spans="1:6" hidden="1" x14ac:dyDescent="0.25">
      <c r="A5636" t="s">
        <v>666</v>
      </c>
      <c r="B5636" t="s">
        <v>28</v>
      </c>
      <c r="E5636" s="3">
        <f>HYPERLINK("https://sao.dolgi.msk.ru/account/1404114367/", 1404114367)</f>
        <v>1404114367</v>
      </c>
      <c r="F5636">
        <v>-6210.23</v>
      </c>
    </row>
    <row r="5637" spans="1:6" hidden="1" x14ac:dyDescent="0.25">
      <c r="A5637" t="s">
        <v>666</v>
      </c>
      <c r="B5637" t="s">
        <v>29</v>
      </c>
      <c r="E5637" s="3">
        <f>HYPERLINK("https://sao.dolgi.msk.ru/account/1404113778/", 1404113778)</f>
        <v>1404113778</v>
      </c>
      <c r="F5637">
        <v>-8403.42</v>
      </c>
    </row>
    <row r="5638" spans="1:6" hidden="1" x14ac:dyDescent="0.25">
      <c r="A5638" t="s">
        <v>666</v>
      </c>
      <c r="B5638" t="s">
        <v>30</v>
      </c>
      <c r="E5638" s="3">
        <f>HYPERLINK("https://sao.dolgi.msk.ru/account/1404113559/", 1404113559)</f>
        <v>1404113559</v>
      </c>
      <c r="F5638">
        <v>-2806.76</v>
      </c>
    </row>
    <row r="5639" spans="1:6" hidden="1" x14ac:dyDescent="0.25">
      <c r="A5639" t="s">
        <v>666</v>
      </c>
      <c r="B5639" t="s">
        <v>31</v>
      </c>
      <c r="E5639" s="3">
        <f>HYPERLINK("https://sao.dolgi.msk.ru/account/1404114105/", 1404114105)</f>
        <v>1404114105</v>
      </c>
      <c r="F5639">
        <v>-748.78</v>
      </c>
    </row>
    <row r="5640" spans="1:6" hidden="1" x14ac:dyDescent="0.25">
      <c r="A5640" t="s">
        <v>666</v>
      </c>
      <c r="B5640" t="s">
        <v>32</v>
      </c>
      <c r="E5640" s="3">
        <f>HYPERLINK("https://sao.dolgi.msk.ru/account/1404113209/", 1404113209)</f>
        <v>1404113209</v>
      </c>
      <c r="F5640">
        <v>-234.5</v>
      </c>
    </row>
    <row r="5641" spans="1:6" hidden="1" x14ac:dyDescent="0.25">
      <c r="A5641" t="s">
        <v>666</v>
      </c>
      <c r="B5641" t="s">
        <v>32</v>
      </c>
      <c r="E5641" s="3">
        <f>HYPERLINK("https://sao.dolgi.msk.ru/account/1404113276/", 1404113276)</f>
        <v>1404113276</v>
      </c>
      <c r="F5641">
        <v>-2085.98</v>
      </c>
    </row>
    <row r="5642" spans="1:6" hidden="1" x14ac:dyDescent="0.25">
      <c r="A5642" t="s">
        <v>666</v>
      </c>
      <c r="B5642" t="s">
        <v>33</v>
      </c>
      <c r="E5642" s="3">
        <f>HYPERLINK("https://sao.dolgi.msk.ru/account/1404114113/", 1404114113)</f>
        <v>1404114113</v>
      </c>
      <c r="F5642">
        <v>0</v>
      </c>
    </row>
    <row r="5643" spans="1:6" hidden="1" x14ac:dyDescent="0.25">
      <c r="A5643" t="s">
        <v>666</v>
      </c>
      <c r="B5643" t="s">
        <v>34</v>
      </c>
      <c r="E5643" s="3">
        <f>HYPERLINK("https://sao.dolgi.msk.ru/account/1404113022/", 1404113022)</f>
        <v>1404113022</v>
      </c>
      <c r="F5643">
        <v>-3456.47</v>
      </c>
    </row>
    <row r="5644" spans="1:6" hidden="1" x14ac:dyDescent="0.25">
      <c r="A5644" t="s">
        <v>666</v>
      </c>
      <c r="B5644" t="s">
        <v>34</v>
      </c>
      <c r="E5644" s="3">
        <f>HYPERLINK("https://sao.dolgi.msk.ru/account/1404114121/", 1404114121)</f>
        <v>1404114121</v>
      </c>
      <c r="F5644">
        <v>-2151.11</v>
      </c>
    </row>
    <row r="5645" spans="1:6" hidden="1" x14ac:dyDescent="0.25">
      <c r="A5645" t="s">
        <v>666</v>
      </c>
      <c r="B5645" t="s">
        <v>35</v>
      </c>
      <c r="E5645" s="3">
        <f>HYPERLINK("https://sao.dolgi.msk.ru/account/1404113567/", 1404113567)</f>
        <v>1404113567</v>
      </c>
      <c r="F5645">
        <v>-4629.37</v>
      </c>
    </row>
    <row r="5646" spans="1:6" hidden="1" x14ac:dyDescent="0.25">
      <c r="A5646" t="s">
        <v>666</v>
      </c>
      <c r="B5646" t="s">
        <v>36</v>
      </c>
      <c r="E5646" s="3">
        <f>HYPERLINK("https://sao.dolgi.msk.ru/account/1404113049/", 1404113049)</f>
        <v>1404113049</v>
      </c>
      <c r="F5646">
        <v>-3610.89</v>
      </c>
    </row>
    <row r="5647" spans="1:6" hidden="1" x14ac:dyDescent="0.25">
      <c r="A5647" t="s">
        <v>666</v>
      </c>
      <c r="B5647" t="s">
        <v>37</v>
      </c>
      <c r="E5647" s="3">
        <f>HYPERLINK("https://sao.dolgi.msk.ru/account/1404113575/", 1404113575)</f>
        <v>1404113575</v>
      </c>
      <c r="F5647">
        <v>-4478.38</v>
      </c>
    </row>
    <row r="5648" spans="1:6" hidden="1" x14ac:dyDescent="0.25">
      <c r="A5648" t="s">
        <v>666</v>
      </c>
      <c r="B5648" t="s">
        <v>38</v>
      </c>
      <c r="E5648" s="3">
        <f>HYPERLINK("https://sao.dolgi.msk.ru/account/1404114375/", 1404114375)</f>
        <v>1404114375</v>
      </c>
      <c r="F5648">
        <v>0</v>
      </c>
    </row>
    <row r="5649" spans="1:6" hidden="1" x14ac:dyDescent="0.25">
      <c r="A5649" t="s">
        <v>666</v>
      </c>
      <c r="B5649" t="s">
        <v>39</v>
      </c>
      <c r="E5649" s="3">
        <f>HYPERLINK("https://sao.dolgi.msk.ru/account/1404114383/", 1404114383)</f>
        <v>1404114383</v>
      </c>
      <c r="F5649">
        <v>-4008.94</v>
      </c>
    </row>
    <row r="5650" spans="1:6" hidden="1" x14ac:dyDescent="0.25">
      <c r="A5650" t="s">
        <v>666</v>
      </c>
      <c r="B5650" t="s">
        <v>40</v>
      </c>
      <c r="E5650" s="3">
        <f>HYPERLINK("https://sao.dolgi.msk.ru/account/1404113911/", 1404113911)</f>
        <v>1404113911</v>
      </c>
      <c r="F5650">
        <v>-6910.9</v>
      </c>
    </row>
    <row r="5651" spans="1:6" hidden="1" x14ac:dyDescent="0.25">
      <c r="A5651" t="s">
        <v>666</v>
      </c>
      <c r="B5651" t="s">
        <v>41</v>
      </c>
      <c r="E5651" s="3">
        <f>HYPERLINK("https://sao.dolgi.msk.ru/account/1404113399/", 1404113399)</f>
        <v>1404113399</v>
      </c>
      <c r="F5651">
        <v>-5572.57</v>
      </c>
    </row>
    <row r="5652" spans="1:6" hidden="1" x14ac:dyDescent="0.25">
      <c r="A5652" t="s">
        <v>666</v>
      </c>
      <c r="B5652" t="s">
        <v>42</v>
      </c>
      <c r="E5652" s="3">
        <f>HYPERLINK("https://sao.dolgi.msk.ru/account/1404113583/", 1404113583)</f>
        <v>1404113583</v>
      </c>
      <c r="F5652">
        <v>-3448</v>
      </c>
    </row>
    <row r="5653" spans="1:6" x14ac:dyDescent="0.25">
      <c r="A5653" t="s">
        <v>666</v>
      </c>
      <c r="B5653" t="s">
        <v>43</v>
      </c>
      <c r="C5653" s="5" t="str">
        <f>" кв. "&amp;B5653</f>
        <v xml:space="preserve"> кв. 39</v>
      </c>
      <c r="D5653" s="5" t="str">
        <f>CONCATENATE(A5653,C5653)</f>
        <v>Ленинградское шоссе, дом 96 к.1 кв. 39</v>
      </c>
      <c r="E5653" s="3">
        <f>HYPERLINK("https://sao.dolgi.msk.ru/account/1404113401/", 1404113401)</f>
        <v>1404113401</v>
      </c>
      <c r="F5653">
        <v>76383.02</v>
      </c>
    </row>
    <row r="5654" spans="1:6" hidden="1" x14ac:dyDescent="0.25">
      <c r="A5654" t="s">
        <v>666</v>
      </c>
      <c r="B5654" t="s">
        <v>44</v>
      </c>
      <c r="E5654" s="3">
        <f>HYPERLINK("https://sao.dolgi.msk.ru/account/1404113938/", 1404113938)</f>
        <v>1404113938</v>
      </c>
      <c r="F5654">
        <v>-5525.77</v>
      </c>
    </row>
    <row r="5655" spans="1:6" hidden="1" x14ac:dyDescent="0.25">
      <c r="A5655" t="s">
        <v>666</v>
      </c>
      <c r="B5655" t="s">
        <v>45</v>
      </c>
      <c r="E5655" s="3">
        <f>HYPERLINK("https://sao.dolgi.msk.ru/account/1404113428/", 1404113428)</f>
        <v>1404113428</v>
      </c>
      <c r="F5655">
        <v>-7296.32</v>
      </c>
    </row>
    <row r="5656" spans="1:6" x14ac:dyDescent="0.25">
      <c r="A5656" t="s">
        <v>666</v>
      </c>
      <c r="B5656" t="s">
        <v>46</v>
      </c>
      <c r="C5656" s="5" t="str">
        <f>" кв. "&amp;B5656</f>
        <v xml:space="preserve"> кв. 42</v>
      </c>
      <c r="D5656" s="5" t="str">
        <f>CONCATENATE(A5656,C5656)</f>
        <v>Ленинградское шоссе, дом 96 к.1 кв. 42</v>
      </c>
      <c r="E5656" s="3">
        <f>HYPERLINK("https://sao.dolgi.msk.ru/account/1404113786/", 1404113786)</f>
        <v>1404113786</v>
      </c>
      <c r="F5656">
        <v>132307.57</v>
      </c>
    </row>
    <row r="5657" spans="1:6" hidden="1" x14ac:dyDescent="0.25">
      <c r="A5657" t="s">
        <v>666</v>
      </c>
      <c r="B5657" t="s">
        <v>47</v>
      </c>
      <c r="E5657" s="3">
        <f>HYPERLINK("https://sao.dolgi.msk.ru/account/1404114391/", 1404114391)</f>
        <v>1404114391</v>
      </c>
      <c r="F5657">
        <v>-6443.74</v>
      </c>
    </row>
    <row r="5658" spans="1:6" hidden="1" x14ac:dyDescent="0.25">
      <c r="A5658" t="s">
        <v>666</v>
      </c>
      <c r="B5658" t="s">
        <v>48</v>
      </c>
      <c r="E5658" s="3">
        <f>HYPERLINK("https://sao.dolgi.msk.ru/account/1404113057/", 1404113057)</f>
        <v>1404113057</v>
      </c>
      <c r="F5658">
        <v>-5846.73</v>
      </c>
    </row>
    <row r="5659" spans="1:6" hidden="1" x14ac:dyDescent="0.25">
      <c r="A5659" t="s">
        <v>666</v>
      </c>
      <c r="B5659" t="s">
        <v>49</v>
      </c>
      <c r="E5659" s="3">
        <f>HYPERLINK("https://sao.dolgi.msk.ru/account/1404113436/", 1404113436)</f>
        <v>1404113436</v>
      </c>
      <c r="F5659">
        <v>-7866.7</v>
      </c>
    </row>
    <row r="5660" spans="1:6" hidden="1" x14ac:dyDescent="0.25">
      <c r="A5660" t="s">
        <v>666</v>
      </c>
      <c r="B5660" t="s">
        <v>50</v>
      </c>
      <c r="E5660" s="3">
        <f>HYPERLINK("https://sao.dolgi.msk.ru/account/1404113946/", 1404113946)</f>
        <v>1404113946</v>
      </c>
      <c r="F5660">
        <v>-1137.1300000000001</v>
      </c>
    </row>
    <row r="5661" spans="1:6" hidden="1" x14ac:dyDescent="0.25">
      <c r="A5661" t="s">
        <v>666</v>
      </c>
      <c r="B5661" t="s">
        <v>51</v>
      </c>
      <c r="E5661" s="3">
        <f>HYPERLINK("https://sao.dolgi.msk.ru/account/1404114156/", 1404114156)</f>
        <v>1404114156</v>
      </c>
      <c r="F5661">
        <v>-3120.88</v>
      </c>
    </row>
    <row r="5662" spans="1:6" x14ac:dyDescent="0.25">
      <c r="A5662" t="s">
        <v>666</v>
      </c>
      <c r="B5662" t="s">
        <v>52</v>
      </c>
      <c r="C5662" s="5" t="str">
        <f t="shared" ref="C5662:C5663" si="259">" кв. "&amp;B5662</f>
        <v xml:space="preserve"> кв. 48</v>
      </c>
      <c r="D5662" s="5" t="str">
        <f>CONCATENATE(A5662,C5662)</f>
        <v>Ленинградское шоссе, дом 96 к.1 кв. 48</v>
      </c>
      <c r="E5662" s="3">
        <f>HYPERLINK("https://sao.dolgi.msk.ru/account/1404113444/", 1404113444)</f>
        <v>1404113444</v>
      </c>
      <c r="F5662">
        <v>5671.94</v>
      </c>
    </row>
    <row r="5663" spans="1:6" x14ac:dyDescent="0.25">
      <c r="A5663" t="s">
        <v>666</v>
      </c>
      <c r="B5663" t="s">
        <v>53</v>
      </c>
      <c r="C5663" s="5" t="str">
        <f t="shared" si="259"/>
        <v xml:space="preserve"> кв. 49</v>
      </c>
      <c r="D5663" s="5" t="str">
        <f>CONCATENATE(A5663,C5663)</f>
        <v>Ленинградское шоссе, дом 96 к.1 кв. 49</v>
      </c>
      <c r="E5663" s="3">
        <f>HYPERLINK("https://sao.dolgi.msk.ru/account/1404114164/", 1404114164)</f>
        <v>1404114164</v>
      </c>
      <c r="F5663">
        <v>4197.29</v>
      </c>
    </row>
    <row r="5664" spans="1:6" hidden="1" x14ac:dyDescent="0.25">
      <c r="A5664" t="s">
        <v>666</v>
      </c>
      <c r="B5664" t="s">
        <v>54</v>
      </c>
      <c r="E5664" s="3">
        <f>HYPERLINK("https://sao.dolgi.msk.ru/account/1404113591/", 1404113591)</f>
        <v>1404113591</v>
      </c>
      <c r="F5664">
        <v>0</v>
      </c>
    </row>
    <row r="5665" spans="1:6" hidden="1" x14ac:dyDescent="0.25">
      <c r="A5665" t="s">
        <v>666</v>
      </c>
      <c r="B5665" t="s">
        <v>55</v>
      </c>
      <c r="E5665" s="3">
        <f>HYPERLINK("https://sao.dolgi.msk.ru/account/1404113452/", 1404113452)</f>
        <v>1404113452</v>
      </c>
      <c r="F5665">
        <v>-5739.06</v>
      </c>
    </row>
    <row r="5666" spans="1:6" hidden="1" x14ac:dyDescent="0.25">
      <c r="A5666" t="s">
        <v>666</v>
      </c>
      <c r="B5666" t="s">
        <v>55</v>
      </c>
      <c r="E5666" s="3">
        <f>HYPERLINK("https://sao.dolgi.msk.ru/account/1404293799/", 1404293799)</f>
        <v>1404293799</v>
      </c>
      <c r="F5666">
        <v>-1263.7</v>
      </c>
    </row>
    <row r="5667" spans="1:6" hidden="1" x14ac:dyDescent="0.25">
      <c r="A5667" t="s">
        <v>666</v>
      </c>
      <c r="B5667" t="s">
        <v>56</v>
      </c>
      <c r="E5667" s="3">
        <f>HYPERLINK("https://sao.dolgi.msk.ru/account/1404113604/", 1404113604)</f>
        <v>1404113604</v>
      </c>
      <c r="F5667">
        <v>-355.99</v>
      </c>
    </row>
    <row r="5668" spans="1:6" hidden="1" x14ac:dyDescent="0.25">
      <c r="A5668" t="s">
        <v>666</v>
      </c>
      <c r="B5668" t="s">
        <v>57</v>
      </c>
      <c r="E5668" s="3">
        <f>HYPERLINK("https://sao.dolgi.msk.ru/account/1404113073/", 1404113073)</f>
        <v>1404113073</v>
      </c>
      <c r="F5668">
        <v>-5354.89</v>
      </c>
    </row>
    <row r="5669" spans="1:6" hidden="1" x14ac:dyDescent="0.25">
      <c r="A5669" t="s">
        <v>666</v>
      </c>
      <c r="B5669" t="s">
        <v>58</v>
      </c>
      <c r="E5669" s="3">
        <f>HYPERLINK("https://sao.dolgi.msk.ru/account/1404113081/", 1404113081)</f>
        <v>1404113081</v>
      </c>
      <c r="F5669">
        <v>-4759.29</v>
      </c>
    </row>
    <row r="5670" spans="1:6" hidden="1" x14ac:dyDescent="0.25">
      <c r="A5670" t="s">
        <v>666</v>
      </c>
      <c r="B5670" t="s">
        <v>59</v>
      </c>
      <c r="E5670" s="3">
        <f>HYPERLINK("https://sao.dolgi.msk.ru/account/1404114404/", 1404114404)</f>
        <v>1404114404</v>
      </c>
      <c r="F5670">
        <v>-5411.17</v>
      </c>
    </row>
    <row r="5671" spans="1:6" hidden="1" x14ac:dyDescent="0.25">
      <c r="A5671" t="s">
        <v>666</v>
      </c>
      <c r="B5671" t="s">
        <v>60</v>
      </c>
      <c r="E5671" s="3">
        <f>HYPERLINK("https://sao.dolgi.msk.ru/account/1404113284/", 1404113284)</f>
        <v>1404113284</v>
      </c>
      <c r="F5671">
        <v>-8880.76</v>
      </c>
    </row>
    <row r="5672" spans="1:6" hidden="1" x14ac:dyDescent="0.25">
      <c r="A5672" t="s">
        <v>666</v>
      </c>
      <c r="B5672" t="s">
        <v>61</v>
      </c>
      <c r="E5672" s="3">
        <f>HYPERLINK("https://sao.dolgi.msk.ru/account/1404113954/", 1404113954)</f>
        <v>1404113954</v>
      </c>
      <c r="F5672">
        <v>0</v>
      </c>
    </row>
    <row r="5673" spans="1:6" hidden="1" x14ac:dyDescent="0.25">
      <c r="A5673" t="s">
        <v>666</v>
      </c>
      <c r="B5673" t="s">
        <v>62</v>
      </c>
      <c r="E5673" s="3">
        <f>HYPERLINK("https://sao.dolgi.msk.ru/account/1404113612/", 1404113612)</f>
        <v>1404113612</v>
      </c>
      <c r="F5673">
        <v>-8488.83</v>
      </c>
    </row>
    <row r="5674" spans="1:6" hidden="1" x14ac:dyDescent="0.25">
      <c r="A5674" t="s">
        <v>666</v>
      </c>
      <c r="B5674" t="s">
        <v>63</v>
      </c>
      <c r="E5674" s="3">
        <f>HYPERLINK("https://sao.dolgi.msk.ru/account/1404113292/", 1404113292)</f>
        <v>1404113292</v>
      </c>
      <c r="F5674">
        <v>-5679.08</v>
      </c>
    </row>
    <row r="5675" spans="1:6" x14ac:dyDescent="0.25">
      <c r="A5675" t="s">
        <v>666</v>
      </c>
      <c r="B5675" t="s">
        <v>64</v>
      </c>
      <c r="C5675" s="5" t="str">
        <f>" кв. "&amp;B5675</f>
        <v xml:space="preserve"> кв. 60</v>
      </c>
      <c r="D5675" s="5" t="str">
        <f>CONCATENATE(A5675,C5675)</f>
        <v>Ленинградское шоссе, дом 96 к.1 кв. 60</v>
      </c>
      <c r="E5675" s="3">
        <f>HYPERLINK("https://sao.dolgi.msk.ru/account/1404114172/", 1404114172)</f>
        <v>1404114172</v>
      </c>
      <c r="F5675">
        <v>6836.81</v>
      </c>
    </row>
    <row r="5676" spans="1:6" hidden="1" x14ac:dyDescent="0.25">
      <c r="A5676" t="s">
        <v>666</v>
      </c>
      <c r="B5676" t="s">
        <v>65</v>
      </c>
      <c r="E5676" s="3">
        <f>HYPERLINK("https://sao.dolgi.msk.ru/account/1404113639/", 1404113639)</f>
        <v>1404113639</v>
      </c>
      <c r="F5676">
        <v>-11.46</v>
      </c>
    </row>
    <row r="5677" spans="1:6" hidden="1" x14ac:dyDescent="0.25">
      <c r="A5677" t="s">
        <v>666</v>
      </c>
      <c r="B5677" t="s">
        <v>66</v>
      </c>
      <c r="E5677" s="3">
        <f>HYPERLINK("https://sao.dolgi.msk.ru/account/1404113794/", 1404113794)</f>
        <v>1404113794</v>
      </c>
      <c r="F5677">
        <v>-2343.7399999999998</v>
      </c>
    </row>
    <row r="5678" spans="1:6" hidden="1" x14ac:dyDescent="0.25">
      <c r="A5678" t="s">
        <v>666</v>
      </c>
      <c r="B5678" t="s">
        <v>67</v>
      </c>
      <c r="E5678" s="3">
        <f>HYPERLINK("https://sao.dolgi.msk.ru/account/1404113479/", 1404113479)</f>
        <v>1404113479</v>
      </c>
      <c r="F5678">
        <v>-5611.67</v>
      </c>
    </row>
    <row r="5679" spans="1:6" hidden="1" x14ac:dyDescent="0.25">
      <c r="A5679" t="s">
        <v>666</v>
      </c>
      <c r="B5679" t="s">
        <v>68</v>
      </c>
      <c r="E5679" s="3">
        <f>HYPERLINK("https://sao.dolgi.msk.ru/account/1404113962/", 1404113962)</f>
        <v>1404113962</v>
      </c>
      <c r="F5679">
        <v>-4110.2700000000004</v>
      </c>
    </row>
    <row r="5680" spans="1:6" x14ac:dyDescent="0.25">
      <c r="A5680" t="s">
        <v>666</v>
      </c>
      <c r="B5680" t="s">
        <v>69</v>
      </c>
      <c r="C5680" s="5" t="str">
        <f>" кв. "&amp;B5680</f>
        <v xml:space="preserve"> кв. 65</v>
      </c>
      <c r="D5680" s="5" t="str">
        <f>CONCATENATE(A5680,C5680)</f>
        <v>Ленинградское шоссе, дом 96 к.1 кв. 65</v>
      </c>
      <c r="E5680" s="3">
        <f>HYPERLINK("https://sao.dolgi.msk.ru/account/1404113305/", 1404113305)</f>
        <v>1404113305</v>
      </c>
      <c r="F5680">
        <v>45272.06</v>
      </c>
    </row>
    <row r="5681" spans="1:6" hidden="1" x14ac:dyDescent="0.25">
      <c r="A5681" t="s">
        <v>666</v>
      </c>
      <c r="B5681" t="s">
        <v>70</v>
      </c>
      <c r="E5681" s="3">
        <f>HYPERLINK("https://sao.dolgi.msk.ru/account/1404113487/", 1404113487)</f>
        <v>1404113487</v>
      </c>
      <c r="F5681">
        <v>-3824.18</v>
      </c>
    </row>
    <row r="5682" spans="1:6" x14ac:dyDescent="0.25">
      <c r="A5682" t="s">
        <v>666</v>
      </c>
      <c r="B5682" t="s">
        <v>71</v>
      </c>
      <c r="C5682" s="5" t="str">
        <f>" кв. "&amp;B5682</f>
        <v xml:space="preserve"> кв. 67</v>
      </c>
      <c r="D5682" s="5" t="str">
        <f>CONCATENATE(A5682,C5682)</f>
        <v>Ленинградское шоссе, дом 96 к.1 кв. 67</v>
      </c>
      <c r="E5682" s="3">
        <f>HYPERLINK("https://sao.dolgi.msk.ru/account/1404113102/", 1404113102)</f>
        <v>1404113102</v>
      </c>
      <c r="F5682">
        <v>8520.19</v>
      </c>
    </row>
    <row r="5683" spans="1:6" hidden="1" x14ac:dyDescent="0.25">
      <c r="A5683" t="s">
        <v>666</v>
      </c>
      <c r="B5683" t="s">
        <v>72</v>
      </c>
      <c r="E5683" s="3">
        <f>HYPERLINK("https://sao.dolgi.msk.ru/account/1404113807/", 1404113807)</f>
        <v>1404113807</v>
      </c>
      <c r="F5683">
        <v>-5886.25</v>
      </c>
    </row>
    <row r="5684" spans="1:6" hidden="1" x14ac:dyDescent="0.25">
      <c r="A5684" t="s">
        <v>666</v>
      </c>
      <c r="B5684" t="s">
        <v>73</v>
      </c>
      <c r="E5684" s="3">
        <f>HYPERLINK("https://sao.dolgi.msk.ru/account/1404113815/", 1404113815)</f>
        <v>1404113815</v>
      </c>
      <c r="F5684">
        <v>0</v>
      </c>
    </row>
    <row r="5685" spans="1:6" hidden="1" x14ac:dyDescent="0.25">
      <c r="A5685" t="s">
        <v>666</v>
      </c>
      <c r="B5685" t="s">
        <v>74</v>
      </c>
      <c r="E5685" s="3">
        <f>HYPERLINK("https://sao.dolgi.msk.ru/account/1404113823/", 1404113823)</f>
        <v>1404113823</v>
      </c>
      <c r="F5685">
        <v>-2251.71</v>
      </c>
    </row>
    <row r="5686" spans="1:6" hidden="1" x14ac:dyDescent="0.25">
      <c r="A5686" t="s">
        <v>666</v>
      </c>
      <c r="B5686" t="s">
        <v>75</v>
      </c>
      <c r="E5686" s="3">
        <f>HYPERLINK("https://sao.dolgi.msk.ru/account/1404113989/", 1404113989)</f>
        <v>1404113989</v>
      </c>
      <c r="F5686">
        <v>-5014.88</v>
      </c>
    </row>
    <row r="5687" spans="1:6" hidden="1" x14ac:dyDescent="0.25">
      <c r="A5687" t="s">
        <v>666</v>
      </c>
      <c r="B5687" t="s">
        <v>76</v>
      </c>
      <c r="E5687" s="3">
        <f>HYPERLINK("https://sao.dolgi.msk.ru/account/1404114199/", 1404114199)</f>
        <v>1404114199</v>
      </c>
      <c r="F5687">
        <v>-5458.13</v>
      </c>
    </row>
    <row r="5688" spans="1:6" hidden="1" x14ac:dyDescent="0.25">
      <c r="A5688" t="s">
        <v>666</v>
      </c>
      <c r="B5688" t="s">
        <v>77</v>
      </c>
      <c r="E5688" s="3">
        <f>HYPERLINK("https://sao.dolgi.msk.ru/account/1404113495/", 1404113495)</f>
        <v>1404113495</v>
      </c>
      <c r="F5688">
        <v>-4015.04</v>
      </c>
    </row>
    <row r="5689" spans="1:6" hidden="1" x14ac:dyDescent="0.25">
      <c r="A5689" t="s">
        <v>666</v>
      </c>
      <c r="B5689" t="s">
        <v>78</v>
      </c>
      <c r="E5689" s="3">
        <f>HYPERLINK("https://sao.dolgi.msk.ru/account/1404114201/", 1404114201)</f>
        <v>1404114201</v>
      </c>
      <c r="F5689">
        <v>-7111.55</v>
      </c>
    </row>
    <row r="5690" spans="1:6" x14ac:dyDescent="0.25">
      <c r="A5690" t="s">
        <v>666</v>
      </c>
      <c r="B5690" t="s">
        <v>79</v>
      </c>
      <c r="C5690" s="5" t="str">
        <f>" кв. "&amp;B5690</f>
        <v xml:space="preserve"> кв. 75</v>
      </c>
      <c r="D5690" s="5" t="str">
        <f>CONCATENATE(A5690,C5690)</f>
        <v>Ленинградское шоссе, дом 96 к.1 кв. 75</v>
      </c>
      <c r="E5690" s="3">
        <f>HYPERLINK("https://sao.dolgi.msk.ru/account/1404113508/", 1404113508)</f>
        <v>1404113508</v>
      </c>
      <c r="F5690">
        <v>6675.13</v>
      </c>
    </row>
    <row r="5691" spans="1:6" hidden="1" x14ac:dyDescent="0.25">
      <c r="A5691" t="s">
        <v>666</v>
      </c>
      <c r="B5691" t="s">
        <v>80</v>
      </c>
      <c r="E5691" s="3">
        <f>HYPERLINK("https://sao.dolgi.msk.ru/account/1404113137/", 1404113137)</f>
        <v>1404113137</v>
      </c>
      <c r="F5691">
        <v>-4128.4799999999996</v>
      </c>
    </row>
    <row r="5692" spans="1:6" hidden="1" x14ac:dyDescent="0.25">
      <c r="A5692" t="s">
        <v>666</v>
      </c>
      <c r="B5692" t="s">
        <v>81</v>
      </c>
      <c r="E5692" s="3">
        <f>HYPERLINK("https://sao.dolgi.msk.ru/account/1404113313/", 1404113313)</f>
        <v>1404113313</v>
      </c>
      <c r="F5692">
        <v>-5642.18</v>
      </c>
    </row>
    <row r="5693" spans="1:6" hidden="1" x14ac:dyDescent="0.25">
      <c r="A5693" t="s">
        <v>666</v>
      </c>
      <c r="B5693" t="s">
        <v>82</v>
      </c>
      <c r="E5693" s="3">
        <f>HYPERLINK("https://sao.dolgi.msk.ru/account/1404113516/", 1404113516)</f>
        <v>1404113516</v>
      </c>
      <c r="F5693">
        <v>-4746.5200000000004</v>
      </c>
    </row>
    <row r="5694" spans="1:6" hidden="1" x14ac:dyDescent="0.25">
      <c r="A5694" t="s">
        <v>666</v>
      </c>
      <c r="B5694" t="s">
        <v>83</v>
      </c>
      <c r="E5694" s="3">
        <f>HYPERLINK("https://sao.dolgi.msk.ru/account/1404113647/", 1404113647)</f>
        <v>1404113647</v>
      </c>
      <c r="F5694">
        <v>0</v>
      </c>
    </row>
    <row r="5695" spans="1:6" hidden="1" x14ac:dyDescent="0.25">
      <c r="A5695" t="s">
        <v>666</v>
      </c>
      <c r="B5695" t="s">
        <v>84</v>
      </c>
      <c r="E5695" s="3">
        <f>HYPERLINK("https://sao.dolgi.msk.ru/account/1404113145/", 1404113145)</f>
        <v>1404113145</v>
      </c>
      <c r="F5695">
        <v>0</v>
      </c>
    </row>
    <row r="5696" spans="1:6" hidden="1" x14ac:dyDescent="0.25">
      <c r="A5696" t="s">
        <v>666</v>
      </c>
      <c r="B5696" t="s">
        <v>85</v>
      </c>
      <c r="E5696" s="3">
        <f>HYPERLINK("https://sao.dolgi.msk.ru/account/1404114236/", 1404114236)</f>
        <v>1404114236</v>
      </c>
      <c r="F5696">
        <v>-5755.29</v>
      </c>
    </row>
    <row r="5697" spans="1:6" hidden="1" x14ac:dyDescent="0.25">
      <c r="A5697" t="s">
        <v>666</v>
      </c>
      <c r="B5697" t="s">
        <v>86</v>
      </c>
      <c r="E5697" s="3">
        <f>HYPERLINK("https://sao.dolgi.msk.ru/account/1404114244/", 1404114244)</f>
        <v>1404114244</v>
      </c>
      <c r="F5697">
        <v>0</v>
      </c>
    </row>
    <row r="5698" spans="1:6" hidden="1" x14ac:dyDescent="0.25">
      <c r="A5698" t="s">
        <v>666</v>
      </c>
      <c r="B5698" t="s">
        <v>87</v>
      </c>
      <c r="E5698" s="3">
        <f>HYPERLINK("https://sao.dolgi.msk.ru/account/1404113153/", 1404113153)</f>
        <v>1404113153</v>
      </c>
      <c r="F5698">
        <v>-6515.34</v>
      </c>
    </row>
    <row r="5699" spans="1:6" hidden="1" x14ac:dyDescent="0.25">
      <c r="A5699" t="s">
        <v>666</v>
      </c>
      <c r="B5699" t="s">
        <v>88</v>
      </c>
      <c r="E5699" s="3">
        <f>HYPERLINK("https://sao.dolgi.msk.ru/account/1404113997/", 1404113997)</f>
        <v>1404113997</v>
      </c>
      <c r="F5699">
        <v>-2942.85</v>
      </c>
    </row>
    <row r="5700" spans="1:6" hidden="1" x14ac:dyDescent="0.25">
      <c r="A5700" t="s">
        <v>666</v>
      </c>
      <c r="B5700" t="s">
        <v>88</v>
      </c>
      <c r="E5700" s="3">
        <f>HYPERLINK("https://sao.dolgi.msk.ru/account/1404114439/", 1404114439)</f>
        <v>1404114439</v>
      </c>
      <c r="F5700">
        <v>-2880.63</v>
      </c>
    </row>
    <row r="5701" spans="1:6" hidden="1" x14ac:dyDescent="0.25">
      <c r="A5701" t="s">
        <v>666</v>
      </c>
      <c r="B5701" t="s">
        <v>89</v>
      </c>
      <c r="E5701" s="3">
        <f>HYPERLINK("https://sao.dolgi.msk.ru/account/1404113161/", 1404113161)</f>
        <v>1404113161</v>
      </c>
      <c r="F5701">
        <v>-18456.669999999998</v>
      </c>
    </row>
    <row r="5702" spans="1:6" hidden="1" x14ac:dyDescent="0.25">
      <c r="A5702" t="s">
        <v>666</v>
      </c>
      <c r="B5702" t="s">
        <v>90</v>
      </c>
      <c r="E5702" s="3">
        <f>HYPERLINK("https://sao.dolgi.msk.ru/account/1404113831/", 1404113831)</f>
        <v>1404113831</v>
      </c>
      <c r="F5702">
        <v>-1135.57</v>
      </c>
    </row>
    <row r="5703" spans="1:6" hidden="1" x14ac:dyDescent="0.25">
      <c r="A5703" t="s">
        <v>666</v>
      </c>
      <c r="B5703" t="s">
        <v>91</v>
      </c>
      <c r="E5703" s="3">
        <f>HYPERLINK("https://sao.dolgi.msk.ru/account/1404114252/", 1404114252)</f>
        <v>1404114252</v>
      </c>
      <c r="F5703">
        <v>0</v>
      </c>
    </row>
    <row r="5704" spans="1:6" hidden="1" x14ac:dyDescent="0.25">
      <c r="A5704" t="s">
        <v>666</v>
      </c>
      <c r="B5704" t="s">
        <v>92</v>
      </c>
      <c r="E5704" s="3">
        <f>HYPERLINK("https://sao.dolgi.msk.ru/account/1404114009/", 1404114009)</f>
        <v>1404114009</v>
      </c>
      <c r="F5704">
        <v>-6166.11</v>
      </c>
    </row>
    <row r="5705" spans="1:6" x14ac:dyDescent="0.25">
      <c r="A5705" t="s">
        <v>666</v>
      </c>
      <c r="B5705" t="s">
        <v>93</v>
      </c>
      <c r="C5705" s="5" t="str">
        <f>" кв. "&amp;B5705</f>
        <v xml:space="preserve"> кв. 89</v>
      </c>
      <c r="D5705" s="5" t="str">
        <f>CONCATENATE(A5705,C5705)</f>
        <v>Ленинградское шоссе, дом 96 к.1 кв. 89</v>
      </c>
      <c r="E5705" s="3">
        <f>HYPERLINK("https://sao.dolgi.msk.ru/account/1404113858/", 1404113858)</f>
        <v>1404113858</v>
      </c>
      <c r="F5705">
        <v>4674.13</v>
      </c>
    </row>
    <row r="5706" spans="1:6" hidden="1" x14ac:dyDescent="0.25">
      <c r="A5706" t="s">
        <v>666</v>
      </c>
      <c r="B5706" t="s">
        <v>94</v>
      </c>
      <c r="E5706" s="3">
        <f>HYPERLINK("https://sao.dolgi.msk.ru/account/1404113188/", 1404113188)</f>
        <v>1404113188</v>
      </c>
      <c r="F5706">
        <v>0</v>
      </c>
    </row>
    <row r="5707" spans="1:6" hidden="1" x14ac:dyDescent="0.25">
      <c r="A5707" t="s">
        <v>666</v>
      </c>
      <c r="B5707" t="s">
        <v>95</v>
      </c>
      <c r="E5707" s="3">
        <f>HYPERLINK("https://sao.dolgi.msk.ru/account/1404114447/", 1404114447)</f>
        <v>1404114447</v>
      </c>
      <c r="F5707">
        <v>0</v>
      </c>
    </row>
    <row r="5708" spans="1:6" hidden="1" x14ac:dyDescent="0.25">
      <c r="A5708" t="s">
        <v>666</v>
      </c>
      <c r="B5708" t="s">
        <v>96</v>
      </c>
      <c r="E5708" s="3">
        <f>HYPERLINK("https://sao.dolgi.msk.ru/account/1404113866/", 1404113866)</f>
        <v>1404113866</v>
      </c>
      <c r="F5708">
        <v>-3836.68</v>
      </c>
    </row>
    <row r="5709" spans="1:6" x14ac:dyDescent="0.25">
      <c r="A5709" t="s">
        <v>666</v>
      </c>
      <c r="B5709" t="s">
        <v>97</v>
      </c>
      <c r="C5709" s="5" t="str">
        <f>" кв. "&amp;B5709</f>
        <v xml:space="preserve"> кв. 93</v>
      </c>
      <c r="D5709" s="5" t="str">
        <f>CONCATENATE(A5709,C5709)</f>
        <v>Ленинградское шоссе, дом 96 к.1 кв. 93</v>
      </c>
      <c r="E5709" s="3">
        <f>HYPERLINK("https://sao.dolgi.msk.ru/account/1404113663/", 1404113663)</f>
        <v>1404113663</v>
      </c>
      <c r="F5709">
        <v>203640.46</v>
      </c>
    </row>
    <row r="5710" spans="1:6" hidden="1" x14ac:dyDescent="0.25">
      <c r="A5710" t="s">
        <v>666</v>
      </c>
      <c r="B5710" t="s">
        <v>98</v>
      </c>
      <c r="E5710" s="3">
        <f>HYPERLINK("https://sao.dolgi.msk.ru/account/1404114017/", 1404114017)</f>
        <v>1404114017</v>
      </c>
      <c r="F5710">
        <v>0</v>
      </c>
    </row>
    <row r="5711" spans="1:6" hidden="1" x14ac:dyDescent="0.25">
      <c r="A5711" t="s">
        <v>666</v>
      </c>
      <c r="B5711" t="s">
        <v>98</v>
      </c>
      <c r="E5711" s="3">
        <f>HYPERLINK("https://sao.dolgi.msk.ru/account/1404114308/", 1404114308)</f>
        <v>1404114308</v>
      </c>
      <c r="F5711">
        <v>0</v>
      </c>
    </row>
    <row r="5712" spans="1:6" hidden="1" x14ac:dyDescent="0.25">
      <c r="A5712" t="s">
        <v>666</v>
      </c>
      <c r="B5712" t="s">
        <v>99</v>
      </c>
      <c r="E5712" s="3">
        <f>HYPERLINK("https://sao.dolgi.msk.ru/account/1404114279/", 1404114279)</f>
        <v>1404114279</v>
      </c>
      <c r="F5712">
        <v>-7097.75</v>
      </c>
    </row>
    <row r="5713" spans="1:6" hidden="1" x14ac:dyDescent="0.25">
      <c r="A5713" t="s">
        <v>666</v>
      </c>
      <c r="B5713" t="s">
        <v>100</v>
      </c>
      <c r="E5713" s="3">
        <f>HYPERLINK("https://sao.dolgi.msk.ru/account/1404113671/", 1404113671)</f>
        <v>1404113671</v>
      </c>
      <c r="F5713">
        <v>-10766.67</v>
      </c>
    </row>
    <row r="5714" spans="1:6" hidden="1" x14ac:dyDescent="0.25">
      <c r="A5714" t="s">
        <v>666</v>
      </c>
      <c r="B5714" t="s">
        <v>101</v>
      </c>
      <c r="E5714" s="3">
        <f>HYPERLINK("https://sao.dolgi.msk.ru/account/1404114025/", 1404114025)</f>
        <v>1404114025</v>
      </c>
      <c r="F5714">
        <v>-3650.69</v>
      </c>
    </row>
    <row r="5715" spans="1:6" x14ac:dyDescent="0.25">
      <c r="A5715" t="s">
        <v>666</v>
      </c>
      <c r="B5715" t="s">
        <v>102</v>
      </c>
      <c r="C5715" s="5" t="str">
        <f>" кв. "&amp;B5715</f>
        <v xml:space="preserve"> кв. 98</v>
      </c>
      <c r="D5715" s="5" t="str">
        <f>CONCATENATE(A5715,C5715)</f>
        <v>Ленинградское шоссе, дом 96 к.1 кв. 98</v>
      </c>
      <c r="E5715" s="3">
        <f>HYPERLINK("https://sao.dolgi.msk.ru/account/1404113698/", 1404113698)</f>
        <v>1404113698</v>
      </c>
      <c r="F5715">
        <v>75598.47</v>
      </c>
    </row>
    <row r="5716" spans="1:6" hidden="1" x14ac:dyDescent="0.25">
      <c r="A5716" t="s">
        <v>666</v>
      </c>
      <c r="B5716" t="s">
        <v>103</v>
      </c>
      <c r="E5716" s="3">
        <f>HYPERLINK("https://sao.dolgi.msk.ru/account/1404113874/", 1404113874)</f>
        <v>1404113874</v>
      </c>
      <c r="F5716">
        <v>-1560.03</v>
      </c>
    </row>
    <row r="5717" spans="1:6" hidden="1" x14ac:dyDescent="0.25">
      <c r="A5717" t="s">
        <v>666</v>
      </c>
      <c r="B5717" t="s">
        <v>104</v>
      </c>
      <c r="E5717" s="3">
        <f>HYPERLINK("https://sao.dolgi.msk.ru/account/1404112943/", 1404112943)</f>
        <v>1404112943</v>
      </c>
      <c r="F5717">
        <v>-7491.21</v>
      </c>
    </row>
    <row r="5718" spans="1:6" hidden="1" x14ac:dyDescent="0.25">
      <c r="A5718" t="s">
        <v>666</v>
      </c>
      <c r="B5718" t="s">
        <v>105</v>
      </c>
      <c r="E5718" s="3">
        <f>HYPERLINK("https://sao.dolgi.msk.ru/account/1404114041/", 1404114041)</f>
        <v>1404114041</v>
      </c>
      <c r="F5718">
        <v>-5557.16</v>
      </c>
    </row>
    <row r="5719" spans="1:6" hidden="1" x14ac:dyDescent="0.25">
      <c r="A5719" t="s">
        <v>666</v>
      </c>
      <c r="B5719" t="s">
        <v>106</v>
      </c>
      <c r="E5719" s="3">
        <f>HYPERLINK("https://sao.dolgi.msk.ru/account/1404113882/", 1404113882)</f>
        <v>1404113882</v>
      </c>
      <c r="F5719">
        <v>-1411.64</v>
      </c>
    </row>
    <row r="5720" spans="1:6" hidden="1" x14ac:dyDescent="0.25">
      <c r="A5720" t="s">
        <v>666</v>
      </c>
      <c r="B5720" t="s">
        <v>107</v>
      </c>
      <c r="E5720" s="3">
        <f>HYPERLINK("https://sao.dolgi.msk.ru/account/1404113348/", 1404113348)</f>
        <v>1404113348</v>
      </c>
      <c r="F5720">
        <v>-3109.13</v>
      </c>
    </row>
    <row r="5721" spans="1:6" hidden="1" x14ac:dyDescent="0.25">
      <c r="A5721" t="s">
        <v>666</v>
      </c>
      <c r="B5721" t="s">
        <v>108</v>
      </c>
      <c r="E5721" s="3">
        <f>HYPERLINK("https://sao.dolgi.msk.ru/account/1404112951/", 1404112951)</f>
        <v>1404112951</v>
      </c>
      <c r="F5721">
        <v>-4224.46</v>
      </c>
    </row>
    <row r="5722" spans="1:6" hidden="1" x14ac:dyDescent="0.25">
      <c r="A5722" t="s">
        <v>666</v>
      </c>
      <c r="B5722" t="s">
        <v>108</v>
      </c>
      <c r="E5722" s="3">
        <f>HYPERLINK("https://sao.dolgi.msk.ru/account/1404114068/", 1404114068)</f>
        <v>1404114068</v>
      </c>
      <c r="F5722">
        <v>-2284.58</v>
      </c>
    </row>
    <row r="5723" spans="1:6" hidden="1" x14ac:dyDescent="0.25">
      <c r="A5723" t="s">
        <v>666</v>
      </c>
      <c r="B5723" t="s">
        <v>108</v>
      </c>
      <c r="E5723" s="3">
        <f>HYPERLINK("https://sao.dolgi.msk.ru/account/1404114316/", 1404114316)</f>
        <v>1404114316</v>
      </c>
      <c r="F5723">
        <v>0</v>
      </c>
    </row>
    <row r="5724" spans="1:6" hidden="1" x14ac:dyDescent="0.25">
      <c r="A5724" t="s">
        <v>666</v>
      </c>
      <c r="B5724" t="s">
        <v>109</v>
      </c>
      <c r="E5724" s="3">
        <f>HYPERLINK("https://sao.dolgi.msk.ru/account/1404114076/", 1404114076)</f>
        <v>1404114076</v>
      </c>
      <c r="F5724">
        <v>-3999.24</v>
      </c>
    </row>
    <row r="5725" spans="1:6" hidden="1" x14ac:dyDescent="0.25">
      <c r="A5725" t="s">
        <v>666</v>
      </c>
      <c r="B5725" t="s">
        <v>110</v>
      </c>
      <c r="E5725" s="3">
        <f>HYPERLINK("https://sao.dolgi.msk.ru/account/1404113903/", 1404113903)</f>
        <v>1404113903</v>
      </c>
      <c r="F5725">
        <v>-8624.02</v>
      </c>
    </row>
    <row r="5726" spans="1:6" hidden="1" x14ac:dyDescent="0.25">
      <c r="A5726" t="s">
        <v>666</v>
      </c>
      <c r="B5726" t="s">
        <v>111</v>
      </c>
      <c r="E5726" s="3">
        <f>HYPERLINK("https://sao.dolgi.msk.ru/account/1404114324/", 1404114324)</f>
        <v>1404114324</v>
      </c>
      <c r="F5726">
        <v>-1939.25</v>
      </c>
    </row>
    <row r="5727" spans="1:6" hidden="1" x14ac:dyDescent="0.25">
      <c r="A5727" t="s">
        <v>666</v>
      </c>
      <c r="B5727" t="s">
        <v>112</v>
      </c>
      <c r="E5727" s="3">
        <f>HYPERLINK("https://sao.dolgi.msk.ru/account/1404114084/", 1404114084)</f>
        <v>1404114084</v>
      </c>
      <c r="F5727">
        <v>-1770.97</v>
      </c>
    </row>
    <row r="5728" spans="1:6" hidden="1" x14ac:dyDescent="0.25">
      <c r="A5728" t="s">
        <v>666</v>
      </c>
      <c r="B5728" t="s">
        <v>113</v>
      </c>
      <c r="E5728" s="3">
        <f>HYPERLINK("https://sao.dolgi.msk.ru/account/1404112978/", 1404112978)</f>
        <v>1404112978</v>
      </c>
      <c r="F5728">
        <v>-3384.18</v>
      </c>
    </row>
    <row r="5729" spans="1:6" hidden="1" x14ac:dyDescent="0.25">
      <c r="A5729" t="s">
        <v>666</v>
      </c>
      <c r="B5729" t="s">
        <v>114</v>
      </c>
      <c r="E5729" s="3">
        <f>HYPERLINK("https://sao.dolgi.msk.ru/account/1404113217/", 1404113217)</f>
        <v>1404113217</v>
      </c>
      <c r="F5729">
        <v>-5039.04</v>
      </c>
    </row>
    <row r="5730" spans="1:6" hidden="1" x14ac:dyDescent="0.25">
      <c r="A5730" t="s">
        <v>666</v>
      </c>
      <c r="B5730" t="s">
        <v>115</v>
      </c>
      <c r="E5730" s="3">
        <f>HYPERLINK("https://sao.dolgi.msk.ru/account/1404113356/", 1404113356)</f>
        <v>1404113356</v>
      </c>
      <c r="F5730">
        <v>0</v>
      </c>
    </row>
    <row r="5731" spans="1:6" hidden="1" x14ac:dyDescent="0.25">
      <c r="A5731" t="s">
        <v>666</v>
      </c>
      <c r="B5731" t="s">
        <v>115</v>
      </c>
      <c r="E5731" s="3">
        <f>HYPERLINK("https://sao.dolgi.msk.ru/account/1404113719/", 1404113719)</f>
        <v>1404113719</v>
      </c>
      <c r="F5731">
        <v>-1713.76</v>
      </c>
    </row>
    <row r="5732" spans="1:6" hidden="1" x14ac:dyDescent="0.25">
      <c r="A5732" t="s">
        <v>666</v>
      </c>
      <c r="B5732" t="s">
        <v>116</v>
      </c>
      <c r="E5732" s="3">
        <f>HYPERLINK("https://sao.dolgi.msk.ru/account/1404112994/", 1404112994)</f>
        <v>1404112994</v>
      </c>
      <c r="F5732">
        <v>-8183.3</v>
      </c>
    </row>
    <row r="5733" spans="1:6" hidden="1" x14ac:dyDescent="0.25">
      <c r="A5733" t="s">
        <v>666</v>
      </c>
      <c r="B5733" t="s">
        <v>117</v>
      </c>
      <c r="E5733" s="3">
        <f>HYPERLINK("https://sao.dolgi.msk.ru/account/1404113364/", 1404113364)</f>
        <v>1404113364</v>
      </c>
      <c r="F5733">
        <v>-4163.6899999999996</v>
      </c>
    </row>
    <row r="5734" spans="1:6" hidden="1" x14ac:dyDescent="0.25">
      <c r="A5734" t="s">
        <v>666</v>
      </c>
      <c r="B5734" t="s">
        <v>118</v>
      </c>
      <c r="E5734" s="3">
        <f>HYPERLINK("https://sao.dolgi.msk.ru/account/1404113225/", 1404113225)</f>
        <v>1404113225</v>
      </c>
      <c r="F5734">
        <v>-8811.26</v>
      </c>
    </row>
    <row r="5735" spans="1:6" hidden="1" x14ac:dyDescent="0.25">
      <c r="A5735" t="s">
        <v>666</v>
      </c>
      <c r="B5735" t="s">
        <v>119</v>
      </c>
      <c r="E5735" s="3">
        <f>HYPERLINK("https://sao.dolgi.msk.ru/account/1404113524/", 1404113524)</f>
        <v>1404113524</v>
      </c>
      <c r="F5735">
        <v>-3610.57</v>
      </c>
    </row>
    <row r="5736" spans="1:6" x14ac:dyDescent="0.25">
      <c r="A5736" t="s">
        <v>667</v>
      </c>
      <c r="B5736" t="s">
        <v>120</v>
      </c>
      <c r="C5736" s="5" t="str">
        <f>" кв. "&amp;B5736</f>
        <v xml:space="preserve"> кв. 116</v>
      </c>
      <c r="D5736" s="5" t="str">
        <f>CONCATENATE(A5736,C5736)</f>
        <v>Ленинградское шоссе, дом 96 к.2 кв. 116</v>
      </c>
      <c r="E5736" s="3">
        <f>HYPERLINK("https://sao.dolgi.msk.ru/account/1404115319/", 1404115319)</f>
        <v>1404115319</v>
      </c>
      <c r="F5736">
        <v>83634.89</v>
      </c>
    </row>
    <row r="5737" spans="1:6" hidden="1" x14ac:dyDescent="0.25">
      <c r="A5737" t="s">
        <v>667</v>
      </c>
      <c r="B5737" t="s">
        <v>121</v>
      </c>
      <c r="E5737" s="3">
        <f>HYPERLINK("https://sao.dolgi.msk.ru/account/1404115327/", 1404115327)</f>
        <v>1404115327</v>
      </c>
      <c r="F5737">
        <v>-3080.69</v>
      </c>
    </row>
    <row r="5738" spans="1:6" hidden="1" x14ac:dyDescent="0.25">
      <c r="A5738" t="s">
        <v>667</v>
      </c>
      <c r="B5738" t="s">
        <v>122</v>
      </c>
      <c r="E5738" s="3">
        <f>HYPERLINK("https://sao.dolgi.msk.ru/account/1404114973/", 1404114973)</f>
        <v>1404114973</v>
      </c>
      <c r="F5738">
        <v>0</v>
      </c>
    </row>
    <row r="5739" spans="1:6" hidden="1" x14ac:dyDescent="0.25">
      <c r="A5739" t="s">
        <v>667</v>
      </c>
      <c r="B5739" t="s">
        <v>123</v>
      </c>
      <c r="E5739" s="3">
        <f>HYPERLINK("https://sao.dolgi.msk.ru/account/1404115335/", 1404115335)</f>
        <v>1404115335</v>
      </c>
      <c r="F5739">
        <v>-20895.71</v>
      </c>
    </row>
    <row r="5740" spans="1:6" hidden="1" x14ac:dyDescent="0.25">
      <c r="A5740" t="s">
        <v>667</v>
      </c>
      <c r="B5740" t="s">
        <v>124</v>
      </c>
      <c r="E5740" s="3">
        <f>HYPERLINK("https://sao.dolgi.msk.ru/account/1404114455/", 1404114455)</f>
        <v>1404114455</v>
      </c>
      <c r="F5740">
        <v>-2635.09</v>
      </c>
    </row>
    <row r="5741" spans="1:6" hidden="1" x14ac:dyDescent="0.25">
      <c r="A5741" t="s">
        <v>667</v>
      </c>
      <c r="B5741" t="s">
        <v>125</v>
      </c>
      <c r="E5741" s="3">
        <f>HYPERLINK("https://sao.dolgi.msk.ru/account/1404114586/", 1404114586)</f>
        <v>1404114586</v>
      </c>
      <c r="F5741">
        <v>-3406.24</v>
      </c>
    </row>
    <row r="5742" spans="1:6" hidden="1" x14ac:dyDescent="0.25">
      <c r="A5742" t="s">
        <v>667</v>
      </c>
      <c r="B5742" t="s">
        <v>126</v>
      </c>
      <c r="E5742" s="3">
        <f>HYPERLINK("https://sao.dolgi.msk.ru/account/1404114877/", 1404114877)</f>
        <v>1404114877</v>
      </c>
      <c r="F5742">
        <v>-441.52</v>
      </c>
    </row>
    <row r="5743" spans="1:6" hidden="1" x14ac:dyDescent="0.25">
      <c r="A5743" t="s">
        <v>667</v>
      </c>
      <c r="B5743" t="s">
        <v>127</v>
      </c>
      <c r="E5743" s="3">
        <f>HYPERLINK("https://sao.dolgi.msk.ru/account/1404114594/", 1404114594)</f>
        <v>1404114594</v>
      </c>
      <c r="F5743">
        <v>-3677.45</v>
      </c>
    </row>
    <row r="5744" spans="1:6" hidden="1" x14ac:dyDescent="0.25">
      <c r="A5744" t="s">
        <v>667</v>
      </c>
      <c r="B5744" t="s">
        <v>128</v>
      </c>
      <c r="E5744" s="3">
        <f>HYPERLINK("https://sao.dolgi.msk.ru/account/1404114826/", 1404114826)</f>
        <v>1404114826</v>
      </c>
      <c r="F5744">
        <v>-7242.49</v>
      </c>
    </row>
    <row r="5745" spans="1:6" hidden="1" x14ac:dyDescent="0.25">
      <c r="A5745" t="s">
        <v>667</v>
      </c>
      <c r="B5745" t="s">
        <v>129</v>
      </c>
      <c r="E5745" s="3">
        <f>HYPERLINK("https://sao.dolgi.msk.ru/account/1404114746/", 1404114746)</f>
        <v>1404114746</v>
      </c>
      <c r="F5745">
        <v>-6230.95</v>
      </c>
    </row>
    <row r="5746" spans="1:6" hidden="1" x14ac:dyDescent="0.25">
      <c r="A5746" t="s">
        <v>667</v>
      </c>
      <c r="B5746" t="s">
        <v>130</v>
      </c>
      <c r="E5746" s="3">
        <f>HYPERLINK("https://sao.dolgi.msk.ru/account/1404115343/", 1404115343)</f>
        <v>1404115343</v>
      </c>
      <c r="F5746">
        <v>-3550.83</v>
      </c>
    </row>
    <row r="5747" spans="1:6" hidden="1" x14ac:dyDescent="0.25">
      <c r="A5747" t="s">
        <v>667</v>
      </c>
      <c r="B5747" t="s">
        <v>131</v>
      </c>
      <c r="E5747" s="3">
        <f>HYPERLINK("https://sao.dolgi.msk.ru/account/1404114981/", 1404114981)</f>
        <v>1404114981</v>
      </c>
      <c r="F5747">
        <v>-4874.72</v>
      </c>
    </row>
    <row r="5748" spans="1:6" hidden="1" x14ac:dyDescent="0.25">
      <c r="A5748" t="s">
        <v>667</v>
      </c>
      <c r="B5748" t="s">
        <v>132</v>
      </c>
      <c r="E5748" s="3">
        <f>HYPERLINK("https://sao.dolgi.msk.ru/account/1404115132/", 1404115132)</f>
        <v>1404115132</v>
      </c>
      <c r="F5748">
        <v>-2535.71</v>
      </c>
    </row>
    <row r="5749" spans="1:6" hidden="1" x14ac:dyDescent="0.25">
      <c r="A5749" t="s">
        <v>667</v>
      </c>
      <c r="B5749" t="s">
        <v>133</v>
      </c>
      <c r="E5749" s="3">
        <f>HYPERLINK("https://sao.dolgi.msk.ru/account/1404115001/", 1404115001)</f>
        <v>1404115001</v>
      </c>
      <c r="F5749">
        <v>-4034.01</v>
      </c>
    </row>
    <row r="5750" spans="1:6" hidden="1" x14ac:dyDescent="0.25">
      <c r="A5750" t="s">
        <v>667</v>
      </c>
      <c r="B5750" t="s">
        <v>134</v>
      </c>
      <c r="E5750" s="3">
        <f>HYPERLINK("https://sao.dolgi.msk.ru/account/1404114463/", 1404114463)</f>
        <v>1404114463</v>
      </c>
      <c r="F5750">
        <v>-12404.27</v>
      </c>
    </row>
    <row r="5751" spans="1:6" hidden="1" x14ac:dyDescent="0.25">
      <c r="A5751" t="s">
        <v>667</v>
      </c>
      <c r="B5751" t="s">
        <v>135</v>
      </c>
      <c r="E5751" s="3">
        <f>HYPERLINK("https://sao.dolgi.msk.ru/account/1404114754/", 1404114754)</f>
        <v>1404114754</v>
      </c>
      <c r="F5751">
        <v>0</v>
      </c>
    </row>
    <row r="5752" spans="1:6" hidden="1" x14ac:dyDescent="0.25">
      <c r="A5752" t="s">
        <v>667</v>
      </c>
      <c r="B5752" t="s">
        <v>136</v>
      </c>
      <c r="E5752" s="3">
        <f>HYPERLINK("https://sao.dolgi.msk.ru/account/1404114885/", 1404114885)</f>
        <v>1404114885</v>
      </c>
      <c r="F5752">
        <v>0</v>
      </c>
    </row>
    <row r="5753" spans="1:6" hidden="1" x14ac:dyDescent="0.25">
      <c r="A5753" t="s">
        <v>667</v>
      </c>
      <c r="B5753" t="s">
        <v>136</v>
      </c>
      <c r="E5753" s="3">
        <f>HYPERLINK("https://sao.dolgi.msk.ru/account/1404115159/", 1404115159)</f>
        <v>1404115159</v>
      </c>
      <c r="F5753">
        <v>-1256.6099999999999</v>
      </c>
    </row>
    <row r="5754" spans="1:6" x14ac:dyDescent="0.25">
      <c r="A5754" t="s">
        <v>667</v>
      </c>
      <c r="B5754" t="s">
        <v>137</v>
      </c>
      <c r="C5754" s="5" t="str">
        <f>" кв. "&amp;B5754</f>
        <v xml:space="preserve"> кв. 133</v>
      </c>
      <c r="D5754" s="5" t="str">
        <f>CONCATENATE(A5754,C5754)</f>
        <v>Ленинградское шоссе, дом 96 к.2 кв. 133</v>
      </c>
      <c r="E5754" s="3">
        <f>HYPERLINK("https://sao.dolgi.msk.ru/account/1404115167/", 1404115167)</f>
        <v>1404115167</v>
      </c>
      <c r="F5754">
        <v>154045.35999999999</v>
      </c>
    </row>
    <row r="5755" spans="1:6" hidden="1" x14ac:dyDescent="0.25">
      <c r="A5755" t="s">
        <v>667</v>
      </c>
      <c r="B5755" t="s">
        <v>138</v>
      </c>
      <c r="E5755" s="3">
        <f>HYPERLINK("https://sao.dolgi.msk.ru/account/1404115175/", 1404115175)</f>
        <v>1404115175</v>
      </c>
      <c r="F5755">
        <v>0</v>
      </c>
    </row>
    <row r="5756" spans="1:6" hidden="1" x14ac:dyDescent="0.25">
      <c r="A5756" t="s">
        <v>667</v>
      </c>
      <c r="B5756" t="s">
        <v>139</v>
      </c>
      <c r="E5756" s="3">
        <f>HYPERLINK("https://sao.dolgi.msk.ru/account/1404115351/", 1404115351)</f>
        <v>1404115351</v>
      </c>
      <c r="F5756">
        <v>-6487.33</v>
      </c>
    </row>
    <row r="5757" spans="1:6" hidden="1" x14ac:dyDescent="0.25">
      <c r="A5757" t="s">
        <v>667</v>
      </c>
      <c r="B5757" t="s">
        <v>140</v>
      </c>
      <c r="E5757" s="3">
        <f>HYPERLINK("https://sao.dolgi.msk.ru/account/1404114893/", 1404114893)</f>
        <v>1404114893</v>
      </c>
      <c r="F5757">
        <v>-4897.58</v>
      </c>
    </row>
    <row r="5758" spans="1:6" hidden="1" x14ac:dyDescent="0.25">
      <c r="A5758" t="s">
        <v>667</v>
      </c>
      <c r="B5758" t="s">
        <v>141</v>
      </c>
      <c r="E5758" s="3">
        <f>HYPERLINK("https://sao.dolgi.msk.ru/account/1404114471/", 1404114471)</f>
        <v>1404114471</v>
      </c>
      <c r="F5758">
        <v>-2882.22</v>
      </c>
    </row>
    <row r="5759" spans="1:6" x14ac:dyDescent="0.25">
      <c r="A5759" t="s">
        <v>667</v>
      </c>
      <c r="B5759" t="s">
        <v>142</v>
      </c>
      <c r="C5759" s="5" t="str">
        <f>" кв. "&amp;B5759</f>
        <v xml:space="preserve"> кв. 138</v>
      </c>
      <c r="D5759" s="5" t="str">
        <f>CONCATENATE(A5759,C5759)</f>
        <v>Ленинградское шоссе, дом 96 к.2 кв. 138</v>
      </c>
      <c r="E5759" s="3">
        <f>HYPERLINK("https://sao.dolgi.msk.ru/account/1404115183/", 1404115183)</f>
        <v>1404115183</v>
      </c>
      <c r="F5759">
        <v>4353.6099999999997</v>
      </c>
    </row>
    <row r="5760" spans="1:6" hidden="1" x14ac:dyDescent="0.25">
      <c r="A5760" t="s">
        <v>667</v>
      </c>
      <c r="B5760" t="s">
        <v>143</v>
      </c>
      <c r="E5760" s="3">
        <f>HYPERLINK("https://sao.dolgi.msk.ru/account/1404115378/", 1404115378)</f>
        <v>1404115378</v>
      </c>
      <c r="F5760">
        <v>-4180.8100000000004</v>
      </c>
    </row>
    <row r="5761" spans="1:6" hidden="1" x14ac:dyDescent="0.25">
      <c r="A5761" t="s">
        <v>667</v>
      </c>
      <c r="B5761" t="s">
        <v>144</v>
      </c>
      <c r="E5761" s="3">
        <f>HYPERLINK("https://sao.dolgi.msk.ru/account/1404115028/", 1404115028)</f>
        <v>1404115028</v>
      </c>
      <c r="F5761">
        <v>-3078.88</v>
      </c>
    </row>
    <row r="5762" spans="1:6" x14ac:dyDescent="0.25">
      <c r="A5762" t="s">
        <v>667</v>
      </c>
      <c r="B5762" t="s">
        <v>145</v>
      </c>
      <c r="C5762" s="5" t="str">
        <f>" кв. "&amp;B5762</f>
        <v xml:space="preserve"> кв. 141</v>
      </c>
      <c r="D5762" s="5" t="str">
        <f>CONCATENATE(A5762,C5762)</f>
        <v>Ленинградское шоссе, дом 96 к.2 кв. 141</v>
      </c>
      <c r="E5762" s="3">
        <f>HYPERLINK("https://sao.dolgi.msk.ru/account/1404114906/", 1404114906)</f>
        <v>1404114906</v>
      </c>
      <c r="F5762">
        <v>96883.57</v>
      </c>
    </row>
    <row r="5763" spans="1:6" hidden="1" x14ac:dyDescent="0.25">
      <c r="A5763" t="s">
        <v>667</v>
      </c>
      <c r="B5763" t="s">
        <v>146</v>
      </c>
      <c r="E5763" s="3">
        <f>HYPERLINK("https://sao.dolgi.msk.ru/account/1404115386/", 1404115386)</f>
        <v>1404115386</v>
      </c>
      <c r="F5763">
        <v>-1887.55</v>
      </c>
    </row>
    <row r="5764" spans="1:6" hidden="1" x14ac:dyDescent="0.25">
      <c r="A5764" t="s">
        <v>667</v>
      </c>
      <c r="B5764" t="s">
        <v>147</v>
      </c>
      <c r="E5764" s="3">
        <f>HYPERLINK("https://sao.dolgi.msk.ru/account/1404114607/", 1404114607)</f>
        <v>1404114607</v>
      </c>
      <c r="F5764">
        <v>-3970.43</v>
      </c>
    </row>
    <row r="5765" spans="1:6" hidden="1" x14ac:dyDescent="0.25">
      <c r="A5765" t="s">
        <v>667</v>
      </c>
      <c r="B5765" t="s">
        <v>148</v>
      </c>
      <c r="E5765" s="3">
        <f>HYPERLINK("https://sao.dolgi.msk.ru/account/1404114498/", 1404114498)</f>
        <v>1404114498</v>
      </c>
      <c r="F5765">
        <v>-5553.65</v>
      </c>
    </row>
    <row r="5766" spans="1:6" hidden="1" x14ac:dyDescent="0.25">
      <c r="A5766" t="s">
        <v>667</v>
      </c>
      <c r="B5766" t="s">
        <v>149</v>
      </c>
      <c r="E5766" s="3">
        <f>HYPERLINK("https://sao.dolgi.msk.ru/account/1404114519/", 1404114519)</f>
        <v>1404114519</v>
      </c>
      <c r="F5766">
        <v>-2563.92</v>
      </c>
    </row>
    <row r="5767" spans="1:6" hidden="1" x14ac:dyDescent="0.25">
      <c r="A5767" t="s">
        <v>667</v>
      </c>
      <c r="B5767" t="s">
        <v>150</v>
      </c>
      <c r="E5767" s="3">
        <f>HYPERLINK("https://sao.dolgi.msk.ru/account/1404114914/", 1404114914)</f>
        <v>1404114914</v>
      </c>
      <c r="F5767">
        <v>-4212.92</v>
      </c>
    </row>
    <row r="5768" spans="1:6" hidden="1" x14ac:dyDescent="0.25">
      <c r="A5768" t="s">
        <v>667</v>
      </c>
      <c r="B5768" t="s">
        <v>151</v>
      </c>
      <c r="E5768" s="3">
        <f>HYPERLINK("https://sao.dolgi.msk.ru/account/1404115394/", 1404115394)</f>
        <v>1404115394</v>
      </c>
      <c r="F5768">
        <v>-1570.86</v>
      </c>
    </row>
    <row r="5769" spans="1:6" hidden="1" x14ac:dyDescent="0.25">
      <c r="A5769" t="s">
        <v>667</v>
      </c>
      <c r="B5769" t="s">
        <v>152</v>
      </c>
      <c r="E5769" s="3">
        <f>HYPERLINK("https://sao.dolgi.msk.ru/account/1404115036/", 1404115036)</f>
        <v>1404115036</v>
      </c>
      <c r="F5769">
        <v>-5947.22</v>
      </c>
    </row>
    <row r="5770" spans="1:6" hidden="1" x14ac:dyDescent="0.25">
      <c r="A5770" t="s">
        <v>667</v>
      </c>
      <c r="B5770" t="s">
        <v>153</v>
      </c>
      <c r="E5770" s="3">
        <f>HYPERLINK("https://sao.dolgi.msk.ru/account/1404114762/", 1404114762)</f>
        <v>1404114762</v>
      </c>
      <c r="F5770">
        <v>-4023.41</v>
      </c>
    </row>
    <row r="5771" spans="1:6" hidden="1" x14ac:dyDescent="0.25">
      <c r="A5771" t="s">
        <v>667</v>
      </c>
      <c r="B5771" t="s">
        <v>154</v>
      </c>
      <c r="E5771" s="3">
        <f>HYPERLINK("https://sao.dolgi.msk.ru/account/1404115191/", 1404115191)</f>
        <v>1404115191</v>
      </c>
      <c r="F5771">
        <v>-12619.54</v>
      </c>
    </row>
    <row r="5772" spans="1:6" hidden="1" x14ac:dyDescent="0.25">
      <c r="A5772" t="s">
        <v>667</v>
      </c>
      <c r="B5772" t="s">
        <v>155</v>
      </c>
      <c r="E5772" s="3">
        <f>HYPERLINK("https://sao.dolgi.msk.ru/account/1404114834/", 1404114834)</f>
        <v>1404114834</v>
      </c>
      <c r="F5772">
        <v>-1797.41</v>
      </c>
    </row>
    <row r="5773" spans="1:6" hidden="1" x14ac:dyDescent="0.25">
      <c r="A5773" t="s">
        <v>667</v>
      </c>
      <c r="B5773" t="s">
        <v>156</v>
      </c>
      <c r="E5773" s="3">
        <f>HYPERLINK("https://sao.dolgi.msk.ru/account/1404115204/", 1404115204)</f>
        <v>1404115204</v>
      </c>
      <c r="F5773">
        <v>0</v>
      </c>
    </row>
    <row r="5774" spans="1:6" hidden="1" x14ac:dyDescent="0.25">
      <c r="A5774" t="s">
        <v>667</v>
      </c>
      <c r="B5774" t="s">
        <v>157</v>
      </c>
      <c r="E5774" s="3">
        <f>HYPERLINK("https://sao.dolgi.msk.ru/account/1404114615/", 1404114615)</f>
        <v>1404114615</v>
      </c>
      <c r="F5774">
        <v>-7999.06</v>
      </c>
    </row>
    <row r="5775" spans="1:6" hidden="1" x14ac:dyDescent="0.25">
      <c r="A5775" t="s">
        <v>667</v>
      </c>
      <c r="B5775" t="s">
        <v>158</v>
      </c>
      <c r="E5775" s="3">
        <f>HYPERLINK("https://sao.dolgi.msk.ru/account/1404114789/", 1404114789)</f>
        <v>1404114789</v>
      </c>
      <c r="F5775">
        <v>-5046.57</v>
      </c>
    </row>
    <row r="5776" spans="1:6" hidden="1" x14ac:dyDescent="0.25">
      <c r="A5776" t="s">
        <v>667</v>
      </c>
      <c r="B5776" t="s">
        <v>159</v>
      </c>
      <c r="E5776" s="3">
        <f>HYPERLINK("https://sao.dolgi.msk.ru/account/1404115407/", 1404115407)</f>
        <v>1404115407</v>
      </c>
      <c r="F5776">
        <v>0</v>
      </c>
    </row>
    <row r="5777" spans="1:6" hidden="1" x14ac:dyDescent="0.25">
      <c r="A5777" t="s">
        <v>667</v>
      </c>
      <c r="B5777" t="s">
        <v>160</v>
      </c>
      <c r="E5777" s="3">
        <f>HYPERLINK("https://sao.dolgi.msk.ru/account/1404115212/", 1404115212)</f>
        <v>1404115212</v>
      </c>
      <c r="F5777">
        <v>-3626.43</v>
      </c>
    </row>
    <row r="5778" spans="1:6" hidden="1" x14ac:dyDescent="0.25">
      <c r="A5778" t="s">
        <v>667</v>
      </c>
      <c r="B5778" t="s">
        <v>161</v>
      </c>
      <c r="E5778" s="3">
        <f>HYPERLINK("https://sao.dolgi.msk.ru/account/1404115044/", 1404115044)</f>
        <v>1404115044</v>
      </c>
      <c r="F5778">
        <v>-5970.65</v>
      </c>
    </row>
    <row r="5779" spans="1:6" hidden="1" x14ac:dyDescent="0.25">
      <c r="A5779" t="s">
        <v>667</v>
      </c>
      <c r="B5779" t="s">
        <v>162</v>
      </c>
      <c r="E5779" s="3">
        <f>HYPERLINK("https://sao.dolgi.msk.ru/account/1404114623/", 1404114623)</f>
        <v>1404114623</v>
      </c>
      <c r="F5779">
        <v>-1837.48</v>
      </c>
    </row>
    <row r="5780" spans="1:6" hidden="1" x14ac:dyDescent="0.25">
      <c r="A5780" t="s">
        <v>667</v>
      </c>
      <c r="B5780" t="s">
        <v>163</v>
      </c>
      <c r="E5780" s="3">
        <f>HYPERLINK("https://sao.dolgi.msk.ru/account/1404114631/", 1404114631)</f>
        <v>1404114631</v>
      </c>
      <c r="F5780">
        <v>-2181.83</v>
      </c>
    </row>
    <row r="5781" spans="1:6" hidden="1" x14ac:dyDescent="0.25">
      <c r="A5781" t="s">
        <v>667</v>
      </c>
      <c r="B5781" t="s">
        <v>164</v>
      </c>
      <c r="E5781" s="3">
        <f>HYPERLINK("https://sao.dolgi.msk.ru/account/1404115052/", 1404115052)</f>
        <v>1404115052</v>
      </c>
      <c r="F5781">
        <v>-24.39</v>
      </c>
    </row>
    <row r="5782" spans="1:6" hidden="1" x14ac:dyDescent="0.25">
      <c r="A5782" t="s">
        <v>667</v>
      </c>
      <c r="B5782" t="s">
        <v>165</v>
      </c>
      <c r="E5782" s="3">
        <f>HYPERLINK("https://sao.dolgi.msk.ru/account/1404114797/", 1404114797)</f>
        <v>1404114797</v>
      </c>
      <c r="F5782">
        <v>-3605.81</v>
      </c>
    </row>
    <row r="5783" spans="1:6" hidden="1" x14ac:dyDescent="0.25">
      <c r="A5783" t="s">
        <v>667</v>
      </c>
      <c r="B5783" t="s">
        <v>166</v>
      </c>
      <c r="E5783" s="3">
        <f>HYPERLINK("https://sao.dolgi.msk.ru/account/1404114658/", 1404114658)</f>
        <v>1404114658</v>
      </c>
      <c r="F5783">
        <v>-47.49</v>
      </c>
    </row>
    <row r="5784" spans="1:6" hidden="1" x14ac:dyDescent="0.25">
      <c r="A5784" t="s">
        <v>667</v>
      </c>
      <c r="B5784" t="s">
        <v>167</v>
      </c>
      <c r="E5784" s="3">
        <f>HYPERLINK("https://sao.dolgi.msk.ru/account/1404115298/", 1404115298)</f>
        <v>1404115298</v>
      </c>
      <c r="F5784">
        <v>-3990.66</v>
      </c>
    </row>
    <row r="5785" spans="1:6" hidden="1" x14ac:dyDescent="0.25">
      <c r="A5785" t="s">
        <v>667</v>
      </c>
      <c r="B5785" t="s">
        <v>168</v>
      </c>
      <c r="E5785" s="3">
        <f>HYPERLINK("https://sao.dolgi.msk.ru/account/1404114527/", 1404114527)</f>
        <v>1404114527</v>
      </c>
      <c r="F5785">
        <v>0</v>
      </c>
    </row>
    <row r="5786" spans="1:6" x14ac:dyDescent="0.25">
      <c r="A5786" t="s">
        <v>667</v>
      </c>
      <c r="B5786" t="s">
        <v>169</v>
      </c>
      <c r="C5786" s="5" t="str">
        <f>" кв. "&amp;B5786</f>
        <v xml:space="preserve"> кв. 165</v>
      </c>
      <c r="D5786" s="5" t="str">
        <f>CONCATENATE(A5786,C5786)</f>
        <v>Ленинградское шоссе, дом 96 к.2 кв. 165</v>
      </c>
      <c r="E5786" s="3">
        <f>HYPERLINK("https://sao.dolgi.msk.ru/account/1404115239/", 1404115239)</f>
        <v>1404115239</v>
      </c>
      <c r="F5786">
        <v>11758.96</v>
      </c>
    </row>
    <row r="5787" spans="1:6" hidden="1" x14ac:dyDescent="0.25">
      <c r="A5787" t="s">
        <v>667</v>
      </c>
      <c r="B5787" t="s">
        <v>170</v>
      </c>
      <c r="E5787" s="3">
        <f>HYPERLINK("https://sao.dolgi.msk.ru/account/1404114535/", 1404114535)</f>
        <v>1404114535</v>
      </c>
      <c r="F5787">
        <v>-4633.0600000000004</v>
      </c>
    </row>
    <row r="5788" spans="1:6" hidden="1" x14ac:dyDescent="0.25">
      <c r="A5788" t="s">
        <v>667</v>
      </c>
      <c r="B5788" t="s">
        <v>171</v>
      </c>
      <c r="E5788" s="3">
        <f>HYPERLINK("https://sao.dolgi.msk.ru/account/1404114674/", 1404114674)</f>
        <v>1404114674</v>
      </c>
      <c r="F5788">
        <v>-2666.33</v>
      </c>
    </row>
    <row r="5789" spans="1:6" hidden="1" x14ac:dyDescent="0.25">
      <c r="A5789" t="s">
        <v>667</v>
      </c>
      <c r="B5789" t="s">
        <v>172</v>
      </c>
      <c r="E5789" s="3">
        <f>HYPERLINK("https://sao.dolgi.msk.ru/account/1404115247/", 1404115247)</f>
        <v>1404115247</v>
      </c>
      <c r="F5789">
        <v>-4095.21</v>
      </c>
    </row>
    <row r="5790" spans="1:6" hidden="1" x14ac:dyDescent="0.25">
      <c r="A5790" t="s">
        <v>667</v>
      </c>
      <c r="B5790" t="s">
        <v>173</v>
      </c>
      <c r="E5790" s="3">
        <f>HYPERLINK("https://sao.dolgi.msk.ru/account/1404115415/", 1404115415)</f>
        <v>1404115415</v>
      </c>
      <c r="F5790">
        <v>-315.5</v>
      </c>
    </row>
    <row r="5791" spans="1:6" hidden="1" x14ac:dyDescent="0.25">
      <c r="A5791" t="s">
        <v>667</v>
      </c>
      <c r="B5791" t="s">
        <v>174</v>
      </c>
      <c r="E5791" s="3">
        <f>HYPERLINK("https://sao.dolgi.msk.ru/account/1404115079/", 1404115079)</f>
        <v>1404115079</v>
      </c>
      <c r="F5791">
        <v>-48.29</v>
      </c>
    </row>
    <row r="5792" spans="1:6" hidden="1" x14ac:dyDescent="0.25">
      <c r="A5792" t="s">
        <v>667</v>
      </c>
      <c r="B5792" t="s">
        <v>175</v>
      </c>
      <c r="E5792" s="3">
        <f>HYPERLINK("https://sao.dolgi.msk.ru/account/1404114842/", 1404114842)</f>
        <v>1404114842</v>
      </c>
      <c r="F5792">
        <v>-2954.02</v>
      </c>
    </row>
    <row r="5793" spans="1:6" hidden="1" x14ac:dyDescent="0.25">
      <c r="A5793" t="s">
        <v>667</v>
      </c>
      <c r="B5793" t="s">
        <v>176</v>
      </c>
      <c r="E5793" s="3">
        <f>HYPERLINK("https://sao.dolgi.msk.ru/account/1404114818/", 1404114818)</f>
        <v>1404114818</v>
      </c>
      <c r="F5793">
        <v>-42798.74</v>
      </c>
    </row>
    <row r="5794" spans="1:6" hidden="1" x14ac:dyDescent="0.25">
      <c r="A5794" t="s">
        <v>667</v>
      </c>
      <c r="B5794" t="s">
        <v>177</v>
      </c>
      <c r="E5794" s="3">
        <f>HYPERLINK("https://sao.dolgi.msk.ru/account/1404114738/", 1404114738)</f>
        <v>1404114738</v>
      </c>
      <c r="F5794">
        <v>-1230.98</v>
      </c>
    </row>
    <row r="5795" spans="1:6" hidden="1" x14ac:dyDescent="0.25">
      <c r="A5795" t="s">
        <v>667</v>
      </c>
      <c r="B5795" t="s">
        <v>177</v>
      </c>
      <c r="E5795" s="3">
        <f>HYPERLINK("https://sao.dolgi.msk.ru/account/1404115255/", 1404115255)</f>
        <v>1404115255</v>
      </c>
      <c r="F5795">
        <v>-1185.52</v>
      </c>
    </row>
    <row r="5796" spans="1:6" hidden="1" x14ac:dyDescent="0.25">
      <c r="A5796" t="s">
        <v>667</v>
      </c>
      <c r="B5796" t="s">
        <v>178</v>
      </c>
      <c r="E5796" s="3">
        <f>HYPERLINK("https://sao.dolgi.msk.ru/account/1404114543/", 1404114543)</f>
        <v>1404114543</v>
      </c>
      <c r="F5796">
        <v>-3122.43</v>
      </c>
    </row>
    <row r="5797" spans="1:6" hidden="1" x14ac:dyDescent="0.25">
      <c r="A5797" t="s">
        <v>667</v>
      </c>
      <c r="B5797" t="s">
        <v>179</v>
      </c>
      <c r="E5797" s="3">
        <f>HYPERLINK("https://sao.dolgi.msk.ru/account/1404114682/", 1404114682)</f>
        <v>1404114682</v>
      </c>
      <c r="F5797">
        <v>-3736.9</v>
      </c>
    </row>
    <row r="5798" spans="1:6" x14ac:dyDescent="0.25">
      <c r="A5798" t="s">
        <v>667</v>
      </c>
      <c r="B5798" t="s">
        <v>180</v>
      </c>
      <c r="C5798" s="5" t="str">
        <f>" кв. "&amp;B5798</f>
        <v xml:space="preserve"> кв. 176</v>
      </c>
      <c r="D5798" s="5" t="str">
        <f>CONCATENATE(A5798,C5798)</f>
        <v>Ленинградское шоссе, дом 96 к.2 кв. 176</v>
      </c>
      <c r="E5798" s="3">
        <f>HYPERLINK("https://sao.dolgi.msk.ru/account/1404115087/", 1404115087)</f>
        <v>1404115087</v>
      </c>
      <c r="F5798">
        <v>230.03</v>
      </c>
    </row>
    <row r="5799" spans="1:6" hidden="1" x14ac:dyDescent="0.25">
      <c r="A5799" t="s">
        <v>667</v>
      </c>
      <c r="B5799" t="s">
        <v>181</v>
      </c>
      <c r="E5799" s="3">
        <f>HYPERLINK("https://sao.dolgi.msk.ru/account/1404115423/", 1404115423)</f>
        <v>1404115423</v>
      </c>
      <c r="F5799">
        <v>-5778.83</v>
      </c>
    </row>
    <row r="5800" spans="1:6" hidden="1" x14ac:dyDescent="0.25">
      <c r="A5800" t="s">
        <v>667</v>
      </c>
      <c r="B5800" t="s">
        <v>184</v>
      </c>
      <c r="E5800" s="3">
        <f>HYPERLINK("https://sao.dolgi.msk.ru/account/1404114922/", 1404114922)</f>
        <v>1404114922</v>
      </c>
      <c r="F5800">
        <v>0</v>
      </c>
    </row>
    <row r="5801" spans="1:6" hidden="1" x14ac:dyDescent="0.25">
      <c r="A5801" t="s">
        <v>667</v>
      </c>
      <c r="B5801" t="s">
        <v>185</v>
      </c>
      <c r="E5801" s="3">
        <f>HYPERLINK("https://sao.dolgi.msk.ru/account/1404115263/", 1404115263)</f>
        <v>1404115263</v>
      </c>
      <c r="F5801">
        <v>-114.22</v>
      </c>
    </row>
    <row r="5802" spans="1:6" hidden="1" x14ac:dyDescent="0.25">
      <c r="A5802" t="s">
        <v>667</v>
      </c>
      <c r="B5802" t="s">
        <v>186</v>
      </c>
      <c r="E5802" s="3">
        <f>HYPERLINK("https://sao.dolgi.msk.ru/account/1404114551/", 1404114551)</f>
        <v>1404114551</v>
      </c>
      <c r="F5802">
        <v>-3538.07</v>
      </c>
    </row>
    <row r="5803" spans="1:6" hidden="1" x14ac:dyDescent="0.25">
      <c r="A5803" t="s">
        <v>667</v>
      </c>
      <c r="B5803" t="s">
        <v>187</v>
      </c>
      <c r="E5803" s="3">
        <f>HYPERLINK("https://sao.dolgi.msk.ru/account/1404114949/", 1404114949)</f>
        <v>1404114949</v>
      </c>
      <c r="F5803">
        <v>-3593.37</v>
      </c>
    </row>
    <row r="5804" spans="1:6" hidden="1" x14ac:dyDescent="0.25">
      <c r="A5804" t="s">
        <v>667</v>
      </c>
      <c r="B5804" t="s">
        <v>188</v>
      </c>
      <c r="E5804" s="3">
        <f>HYPERLINK("https://sao.dolgi.msk.ru/account/1404115095/", 1404115095)</f>
        <v>1404115095</v>
      </c>
      <c r="F5804">
        <v>0</v>
      </c>
    </row>
    <row r="5805" spans="1:6" hidden="1" x14ac:dyDescent="0.25">
      <c r="A5805" t="s">
        <v>667</v>
      </c>
      <c r="B5805" t="s">
        <v>189</v>
      </c>
      <c r="E5805" s="3">
        <f>HYPERLINK("https://sao.dolgi.msk.ru/account/1404115431/", 1404115431)</f>
        <v>1404115431</v>
      </c>
      <c r="F5805">
        <v>-5474.53</v>
      </c>
    </row>
    <row r="5806" spans="1:6" hidden="1" x14ac:dyDescent="0.25">
      <c r="A5806" t="s">
        <v>667</v>
      </c>
      <c r="B5806" t="s">
        <v>190</v>
      </c>
      <c r="E5806" s="3">
        <f>HYPERLINK("https://sao.dolgi.msk.ru/account/1404114869/", 1404114869)</f>
        <v>1404114869</v>
      </c>
      <c r="F5806">
        <v>0</v>
      </c>
    </row>
    <row r="5807" spans="1:6" hidden="1" x14ac:dyDescent="0.25">
      <c r="A5807" t="s">
        <v>667</v>
      </c>
      <c r="B5807" t="s">
        <v>191</v>
      </c>
      <c r="E5807" s="3">
        <f>HYPERLINK("https://sao.dolgi.msk.ru/account/1404115108/", 1404115108)</f>
        <v>1404115108</v>
      </c>
      <c r="F5807">
        <v>-461.63</v>
      </c>
    </row>
    <row r="5808" spans="1:6" hidden="1" x14ac:dyDescent="0.25">
      <c r="A5808" t="s">
        <v>667</v>
      </c>
      <c r="B5808" t="s">
        <v>192</v>
      </c>
      <c r="E5808" s="3">
        <f>HYPERLINK("https://sao.dolgi.msk.ru/account/1404114703/", 1404114703)</f>
        <v>1404114703</v>
      </c>
      <c r="F5808">
        <v>0</v>
      </c>
    </row>
    <row r="5809" spans="1:6" hidden="1" x14ac:dyDescent="0.25">
      <c r="A5809" t="s">
        <v>667</v>
      </c>
      <c r="B5809" t="s">
        <v>193</v>
      </c>
      <c r="E5809" s="3">
        <f>HYPERLINK("https://sao.dolgi.msk.ru/account/1404114711/", 1404114711)</f>
        <v>1404114711</v>
      </c>
      <c r="F5809">
        <v>-2655.51</v>
      </c>
    </row>
    <row r="5810" spans="1:6" hidden="1" x14ac:dyDescent="0.25">
      <c r="A5810" t="s">
        <v>667</v>
      </c>
      <c r="B5810" t="s">
        <v>194</v>
      </c>
      <c r="E5810" s="3">
        <f>HYPERLINK("https://sao.dolgi.msk.ru/account/1404115271/", 1404115271)</f>
        <v>1404115271</v>
      </c>
      <c r="F5810">
        <v>-5027.41</v>
      </c>
    </row>
    <row r="5811" spans="1:6" hidden="1" x14ac:dyDescent="0.25">
      <c r="A5811" t="s">
        <v>667</v>
      </c>
      <c r="B5811" t="s">
        <v>195</v>
      </c>
      <c r="E5811" s="3">
        <f>HYPERLINK("https://sao.dolgi.msk.ru/account/1404115116/", 1404115116)</f>
        <v>1404115116</v>
      </c>
      <c r="F5811">
        <v>-4656.21</v>
      </c>
    </row>
    <row r="5812" spans="1:6" hidden="1" x14ac:dyDescent="0.25">
      <c r="A5812" t="s">
        <v>667</v>
      </c>
      <c r="B5812" t="s">
        <v>196</v>
      </c>
      <c r="E5812" s="3">
        <f>HYPERLINK("https://sao.dolgi.msk.ru/account/1404114957/", 1404114957)</f>
        <v>1404114957</v>
      </c>
      <c r="F5812">
        <v>-5537.92</v>
      </c>
    </row>
    <row r="5813" spans="1:6" hidden="1" x14ac:dyDescent="0.25">
      <c r="A5813" t="s">
        <v>667</v>
      </c>
      <c r="B5813" t="s">
        <v>197</v>
      </c>
      <c r="E5813" s="3">
        <f>HYPERLINK("https://sao.dolgi.msk.ru/account/1404114578/", 1404114578)</f>
        <v>1404114578</v>
      </c>
      <c r="F5813">
        <v>-6560.07</v>
      </c>
    </row>
    <row r="5814" spans="1:6" hidden="1" x14ac:dyDescent="0.25">
      <c r="A5814" t="s">
        <v>667</v>
      </c>
      <c r="B5814" t="s">
        <v>198</v>
      </c>
      <c r="E5814" s="3">
        <f>HYPERLINK("https://sao.dolgi.msk.ru/account/1404115124/", 1404115124)</f>
        <v>1404115124</v>
      </c>
      <c r="F5814">
        <v>-2819.62</v>
      </c>
    </row>
    <row r="5815" spans="1:6" hidden="1" x14ac:dyDescent="0.25">
      <c r="A5815" t="s">
        <v>667</v>
      </c>
      <c r="B5815" t="s">
        <v>199</v>
      </c>
      <c r="E5815" s="3">
        <f>HYPERLINK("https://sao.dolgi.msk.ru/account/1404114965/", 1404114965)</f>
        <v>1404114965</v>
      </c>
      <c r="F5815">
        <v>-3956.58</v>
      </c>
    </row>
    <row r="5816" spans="1:6" hidden="1" x14ac:dyDescent="0.25">
      <c r="A5816" t="s">
        <v>668</v>
      </c>
      <c r="B5816" t="s">
        <v>200</v>
      </c>
      <c r="E5816" s="3">
        <f>HYPERLINK("https://sao.dolgi.msk.ru/account/1404115984/", 1404115984)</f>
        <v>1404115984</v>
      </c>
      <c r="F5816">
        <v>-4596.08</v>
      </c>
    </row>
    <row r="5817" spans="1:6" hidden="1" x14ac:dyDescent="0.25">
      <c r="A5817" t="s">
        <v>668</v>
      </c>
      <c r="B5817" t="s">
        <v>201</v>
      </c>
      <c r="E5817" s="3">
        <f>HYPERLINK("https://sao.dolgi.msk.ru/account/1404116258/", 1404116258)</f>
        <v>1404116258</v>
      </c>
      <c r="F5817">
        <v>0</v>
      </c>
    </row>
    <row r="5818" spans="1:6" hidden="1" x14ac:dyDescent="0.25">
      <c r="A5818" t="s">
        <v>668</v>
      </c>
      <c r="B5818" t="s">
        <v>202</v>
      </c>
      <c r="E5818" s="3">
        <f>HYPERLINK("https://sao.dolgi.msk.ru/account/1404115626/", 1404115626)</f>
        <v>1404115626</v>
      </c>
      <c r="F5818">
        <v>0</v>
      </c>
    </row>
    <row r="5819" spans="1:6" hidden="1" x14ac:dyDescent="0.25">
      <c r="A5819" t="s">
        <v>668</v>
      </c>
      <c r="B5819" t="s">
        <v>203</v>
      </c>
      <c r="E5819" s="3">
        <f>HYPERLINK("https://sao.dolgi.msk.ru/account/1404115992/", 1404115992)</f>
        <v>1404115992</v>
      </c>
      <c r="F5819">
        <v>-1828.24</v>
      </c>
    </row>
    <row r="5820" spans="1:6" hidden="1" x14ac:dyDescent="0.25">
      <c r="A5820" t="s">
        <v>668</v>
      </c>
      <c r="B5820" t="s">
        <v>204</v>
      </c>
      <c r="E5820" s="3">
        <f>HYPERLINK("https://sao.dolgi.msk.ru/account/1404115837/", 1404115837)</f>
        <v>1404115837</v>
      </c>
      <c r="F5820">
        <v>-3397.89</v>
      </c>
    </row>
    <row r="5821" spans="1:6" hidden="1" x14ac:dyDescent="0.25">
      <c r="A5821" t="s">
        <v>668</v>
      </c>
      <c r="B5821" t="s">
        <v>205</v>
      </c>
      <c r="E5821" s="3">
        <f>HYPERLINK("https://sao.dolgi.msk.ru/account/1404115757/", 1404115757)</f>
        <v>1404115757</v>
      </c>
      <c r="F5821">
        <v>0</v>
      </c>
    </row>
    <row r="5822" spans="1:6" hidden="1" x14ac:dyDescent="0.25">
      <c r="A5822" t="s">
        <v>668</v>
      </c>
      <c r="B5822" t="s">
        <v>206</v>
      </c>
      <c r="E5822" s="3">
        <f>HYPERLINK("https://sao.dolgi.msk.ru/account/1404115765/", 1404115765)</f>
        <v>1404115765</v>
      </c>
      <c r="F5822">
        <v>-4298.04</v>
      </c>
    </row>
    <row r="5823" spans="1:6" hidden="1" x14ac:dyDescent="0.25">
      <c r="A5823" t="s">
        <v>668</v>
      </c>
      <c r="B5823" t="s">
        <v>207</v>
      </c>
      <c r="E5823" s="3">
        <f>HYPERLINK("https://sao.dolgi.msk.ru/account/1404116266/", 1404116266)</f>
        <v>1404116266</v>
      </c>
      <c r="F5823">
        <v>-2450.92</v>
      </c>
    </row>
    <row r="5824" spans="1:6" hidden="1" x14ac:dyDescent="0.25">
      <c r="A5824" t="s">
        <v>668</v>
      </c>
      <c r="B5824" t="s">
        <v>208</v>
      </c>
      <c r="E5824" s="3">
        <f>HYPERLINK("https://sao.dolgi.msk.ru/account/1404115554/", 1404115554)</f>
        <v>1404115554</v>
      </c>
      <c r="F5824">
        <v>0</v>
      </c>
    </row>
    <row r="5825" spans="1:6" hidden="1" x14ac:dyDescent="0.25">
      <c r="A5825" t="s">
        <v>668</v>
      </c>
      <c r="B5825" t="s">
        <v>209</v>
      </c>
      <c r="E5825" s="3">
        <f>HYPERLINK("https://sao.dolgi.msk.ru/account/1404116004/", 1404116004)</f>
        <v>1404116004</v>
      </c>
      <c r="F5825">
        <v>-2274.34</v>
      </c>
    </row>
    <row r="5826" spans="1:6" hidden="1" x14ac:dyDescent="0.25">
      <c r="A5826" t="s">
        <v>668</v>
      </c>
      <c r="B5826" t="s">
        <v>210</v>
      </c>
      <c r="E5826" s="3">
        <f>HYPERLINK("https://sao.dolgi.msk.ru/account/1404115845/", 1404115845)</f>
        <v>1404115845</v>
      </c>
      <c r="F5826">
        <v>0</v>
      </c>
    </row>
    <row r="5827" spans="1:6" hidden="1" x14ac:dyDescent="0.25">
      <c r="A5827" t="s">
        <v>668</v>
      </c>
      <c r="B5827" t="s">
        <v>211</v>
      </c>
      <c r="E5827" s="3">
        <f>HYPERLINK("https://sao.dolgi.msk.ru/account/1404115634/", 1404115634)</f>
        <v>1404115634</v>
      </c>
      <c r="F5827">
        <v>-2460.83</v>
      </c>
    </row>
    <row r="5828" spans="1:6" hidden="1" x14ac:dyDescent="0.25">
      <c r="A5828" t="s">
        <v>668</v>
      </c>
      <c r="B5828" t="s">
        <v>212</v>
      </c>
      <c r="E5828" s="3">
        <f>HYPERLINK("https://sao.dolgi.msk.ru/account/1404115642/", 1404115642)</f>
        <v>1404115642</v>
      </c>
      <c r="F5828">
        <v>-4123.74</v>
      </c>
    </row>
    <row r="5829" spans="1:6" hidden="1" x14ac:dyDescent="0.25">
      <c r="A5829" t="s">
        <v>668</v>
      </c>
      <c r="B5829" t="s">
        <v>213</v>
      </c>
      <c r="E5829" s="3">
        <f>HYPERLINK("https://sao.dolgi.msk.ru/account/1404115458/", 1404115458)</f>
        <v>1404115458</v>
      </c>
      <c r="F5829">
        <v>-3834.15</v>
      </c>
    </row>
    <row r="5830" spans="1:6" hidden="1" x14ac:dyDescent="0.25">
      <c r="A5830" t="s">
        <v>668</v>
      </c>
      <c r="B5830" t="s">
        <v>214</v>
      </c>
      <c r="E5830" s="3">
        <f>HYPERLINK("https://sao.dolgi.msk.ru/account/1404116143/", 1404116143)</f>
        <v>1404116143</v>
      </c>
      <c r="F5830">
        <v>-1917.39</v>
      </c>
    </row>
    <row r="5831" spans="1:6" hidden="1" x14ac:dyDescent="0.25">
      <c r="A5831" t="s">
        <v>668</v>
      </c>
      <c r="B5831" t="s">
        <v>215</v>
      </c>
      <c r="E5831" s="3">
        <f>HYPERLINK("https://sao.dolgi.msk.ru/account/1404115853/", 1404115853)</f>
        <v>1404115853</v>
      </c>
      <c r="F5831">
        <v>0</v>
      </c>
    </row>
    <row r="5832" spans="1:6" hidden="1" x14ac:dyDescent="0.25">
      <c r="A5832" t="s">
        <v>668</v>
      </c>
      <c r="B5832" t="s">
        <v>216</v>
      </c>
      <c r="E5832" s="3">
        <f>HYPERLINK("https://sao.dolgi.msk.ru/account/1404116012/", 1404116012)</f>
        <v>1404116012</v>
      </c>
      <c r="F5832">
        <v>-3148.35</v>
      </c>
    </row>
    <row r="5833" spans="1:6" hidden="1" x14ac:dyDescent="0.25">
      <c r="A5833" t="s">
        <v>668</v>
      </c>
      <c r="B5833" t="s">
        <v>217</v>
      </c>
      <c r="E5833" s="3">
        <f>HYPERLINK("https://sao.dolgi.msk.ru/account/1404116274/", 1404116274)</f>
        <v>1404116274</v>
      </c>
      <c r="F5833">
        <v>-4570.84</v>
      </c>
    </row>
    <row r="5834" spans="1:6" hidden="1" x14ac:dyDescent="0.25">
      <c r="A5834" t="s">
        <v>668</v>
      </c>
      <c r="B5834" t="s">
        <v>218</v>
      </c>
      <c r="E5834" s="3">
        <f>HYPERLINK("https://sao.dolgi.msk.ru/account/1404116151/", 1404116151)</f>
        <v>1404116151</v>
      </c>
      <c r="F5834">
        <v>-3689.84</v>
      </c>
    </row>
    <row r="5835" spans="1:6" hidden="1" x14ac:dyDescent="0.25">
      <c r="A5835" t="s">
        <v>668</v>
      </c>
      <c r="B5835" t="s">
        <v>219</v>
      </c>
      <c r="E5835" s="3">
        <f>HYPERLINK("https://sao.dolgi.msk.ru/account/1404116282/", 1404116282)</f>
        <v>1404116282</v>
      </c>
      <c r="F5835">
        <v>0</v>
      </c>
    </row>
    <row r="5836" spans="1:6" hidden="1" x14ac:dyDescent="0.25">
      <c r="A5836" t="s">
        <v>668</v>
      </c>
      <c r="B5836" t="s">
        <v>220</v>
      </c>
      <c r="E5836" s="3">
        <f>HYPERLINK("https://sao.dolgi.msk.ru/account/1404115669/", 1404115669)</f>
        <v>1404115669</v>
      </c>
      <c r="F5836">
        <v>0</v>
      </c>
    </row>
    <row r="5837" spans="1:6" x14ac:dyDescent="0.25">
      <c r="A5837" t="s">
        <v>668</v>
      </c>
      <c r="B5837" t="s">
        <v>221</v>
      </c>
      <c r="C5837" s="5" t="str">
        <f t="shared" ref="C5837:C5838" si="260">" кв. "&amp;B5837</f>
        <v xml:space="preserve"> кв. 217</v>
      </c>
      <c r="D5837" s="5" t="str">
        <f>CONCATENATE(A5837,C5837)</f>
        <v>Ленинградское шоссе, дом 96 к.3 кв. 217</v>
      </c>
      <c r="E5837" s="3">
        <f>HYPERLINK("https://sao.dolgi.msk.ru/account/1404116303/", 1404116303)</f>
        <v>1404116303</v>
      </c>
      <c r="F5837">
        <v>61200.85</v>
      </c>
    </row>
    <row r="5838" spans="1:6" x14ac:dyDescent="0.25">
      <c r="A5838" t="s">
        <v>668</v>
      </c>
      <c r="B5838" t="s">
        <v>222</v>
      </c>
      <c r="C5838" s="5" t="str">
        <f t="shared" si="260"/>
        <v xml:space="preserve"> кв. 218</v>
      </c>
      <c r="D5838" s="5" t="str">
        <f>CONCATENATE(A5838,C5838)</f>
        <v>Ленинградское шоссе, дом 96 к.3 кв. 218</v>
      </c>
      <c r="E5838" s="3">
        <f>HYPERLINK("https://sao.dolgi.msk.ru/account/1404116178/", 1404116178)</f>
        <v>1404116178</v>
      </c>
      <c r="F5838">
        <v>3821.72</v>
      </c>
    </row>
    <row r="5839" spans="1:6" hidden="1" x14ac:dyDescent="0.25">
      <c r="A5839" t="s">
        <v>668</v>
      </c>
      <c r="B5839" t="s">
        <v>223</v>
      </c>
      <c r="E5839" s="3">
        <f>HYPERLINK("https://sao.dolgi.msk.ru/account/1404115773/", 1404115773)</f>
        <v>1404115773</v>
      </c>
      <c r="F5839">
        <v>-4967.76</v>
      </c>
    </row>
    <row r="5840" spans="1:6" hidden="1" x14ac:dyDescent="0.25">
      <c r="A5840" t="s">
        <v>668</v>
      </c>
      <c r="B5840" t="s">
        <v>224</v>
      </c>
      <c r="E5840" s="3">
        <f>HYPERLINK("https://sao.dolgi.msk.ru/account/1404116039/", 1404116039)</f>
        <v>1404116039</v>
      </c>
      <c r="F5840">
        <v>0</v>
      </c>
    </row>
    <row r="5841" spans="1:6" hidden="1" x14ac:dyDescent="0.25">
      <c r="A5841" t="s">
        <v>668</v>
      </c>
      <c r="B5841" t="s">
        <v>225</v>
      </c>
      <c r="E5841" s="3">
        <f>HYPERLINK("https://sao.dolgi.msk.ru/account/1404115466/", 1404115466)</f>
        <v>1404115466</v>
      </c>
      <c r="F5841">
        <v>-3375.99</v>
      </c>
    </row>
    <row r="5842" spans="1:6" hidden="1" x14ac:dyDescent="0.25">
      <c r="A5842" t="s">
        <v>668</v>
      </c>
      <c r="B5842" t="s">
        <v>226</v>
      </c>
      <c r="E5842" s="3">
        <f>HYPERLINK("https://sao.dolgi.msk.ru/account/1404115474/", 1404115474)</f>
        <v>1404115474</v>
      </c>
      <c r="F5842">
        <v>-4641.46</v>
      </c>
    </row>
    <row r="5843" spans="1:6" hidden="1" x14ac:dyDescent="0.25">
      <c r="A5843" t="s">
        <v>668</v>
      </c>
      <c r="B5843" t="s">
        <v>227</v>
      </c>
      <c r="E5843" s="3">
        <f>HYPERLINK("https://sao.dolgi.msk.ru/account/1404116311/", 1404116311)</f>
        <v>1404116311</v>
      </c>
      <c r="F5843">
        <v>-2264.8200000000002</v>
      </c>
    </row>
    <row r="5844" spans="1:6" hidden="1" x14ac:dyDescent="0.25">
      <c r="A5844" t="s">
        <v>668</v>
      </c>
      <c r="B5844" t="s">
        <v>228</v>
      </c>
      <c r="E5844" s="3">
        <f>HYPERLINK("https://sao.dolgi.msk.ru/account/1404115861/", 1404115861)</f>
        <v>1404115861</v>
      </c>
      <c r="F5844">
        <v>-4069.84</v>
      </c>
    </row>
    <row r="5845" spans="1:6" hidden="1" x14ac:dyDescent="0.25">
      <c r="A5845" t="s">
        <v>668</v>
      </c>
      <c r="B5845" t="s">
        <v>229</v>
      </c>
      <c r="E5845" s="3">
        <f>HYPERLINK("https://sao.dolgi.msk.ru/account/1404115677/", 1404115677)</f>
        <v>1404115677</v>
      </c>
      <c r="F5845">
        <v>-5762.56</v>
      </c>
    </row>
    <row r="5846" spans="1:6" hidden="1" x14ac:dyDescent="0.25">
      <c r="A5846" t="s">
        <v>668</v>
      </c>
      <c r="B5846" t="s">
        <v>230</v>
      </c>
      <c r="E5846" s="3">
        <f>HYPERLINK("https://sao.dolgi.msk.ru/account/1404115685/", 1404115685)</f>
        <v>1404115685</v>
      </c>
      <c r="F5846">
        <v>-3270.88</v>
      </c>
    </row>
    <row r="5847" spans="1:6" hidden="1" x14ac:dyDescent="0.25">
      <c r="A5847" t="s">
        <v>668</v>
      </c>
      <c r="B5847" t="s">
        <v>231</v>
      </c>
      <c r="E5847" s="3">
        <f>HYPERLINK("https://sao.dolgi.msk.ru/account/1404116186/", 1404116186)</f>
        <v>1404116186</v>
      </c>
      <c r="F5847">
        <v>-3993.74</v>
      </c>
    </row>
    <row r="5848" spans="1:6" hidden="1" x14ac:dyDescent="0.25">
      <c r="A5848" t="s">
        <v>668</v>
      </c>
      <c r="B5848" t="s">
        <v>232</v>
      </c>
      <c r="E5848" s="3">
        <f>HYPERLINK("https://sao.dolgi.msk.ru/account/1404116047/", 1404116047)</f>
        <v>1404116047</v>
      </c>
      <c r="F5848">
        <v>-2551.2199999999998</v>
      </c>
    </row>
    <row r="5849" spans="1:6" x14ac:dyDescent="0.25">
      <c r="A5849" t="s">
        <v>668</v>
      </c>
      <c r="B5849" t="s">
        <v>233</v>
      </c>
      <c r="C5849" s="5" t="str">
        <f>" кв. "&amp;B5849</f>
        <v xml:space="preserve"> кв. 229</v>
      </c>
      <c r="D5849" s="5" t="str">
        <f>CONCATENATE(A5849,C5849)</f>
        <v>Ленинградское шоссе, дом 96 к.3 кв. 229</v>
      </c>
      <c r="E5849" s="3">
        <f>HYPERLINK("https://sao.dolgi.msk.ru/account/1404115888/", 1404115888)</f>
        <v>1404115888</v>
      </c>
      <c r="F5849">
        <v>286780.5</v>
      </c>
    </row>
    <row r="5850" spans="1:6" hidden="1" x14ac:dyDescent="0.25">
      <c r="A5850" t="s">
        <v>668</v>
      </c>
      <c r="B5850" t="s">
        <v>234</v>
      </c>
      <c r="E5850" s="3">
        <f>HYPERLINK("https://sao.dolgi.msk.ru/account/1404115562/", 1404115562)</f>
        <v>1404115562</v>
      </c>
      <c r="F5850">
        <v>-5228.9399999999996</v>
      </c>
    </row>
    <row r="5851" spans="1:6" hidden="1" x14ac:dyDescent="0.25">
      <c r="A5851" t="s">
        <v>668</v>
      </c>
      <c r="B5851" t="s">
        <v>235</v>
      </c>
      <c r="E5851" s="3">
        <f>HYPERLINK("https://sao.dolgi.msk.ru/account/1404116338/", 1404116338)</f>
        <v>1404116338</v>
      </c>
      <c r="F5851">
        <v>-3771.92</v>
      </c>
    </row>
    <row r="5852" spans="1:6" hidden="1" x14ac:dyDescent="0.25">
      <c r="A5852" t="s">
        <v>668</v>
      </c>
      <c r="B5852" t="s">
        <v>239</v>
      </c>
      <c r="E5852" s="3">
        <f>HYPERLINK("https://sao.dolgi.msk.ru/account/1404115896/", 1404115896)</f>
        <v>1404115896</v>
      </c>
      <c r="F5852">
        <v>-1954.22</v>
      </c>
    </row>
    <row r="5853" spans="1:6" hidden="1" x14ac:dyDescent="0.25">
      <c r="A5853" t="s">
        <v>668</v>
      </c>
      <c r="B5853" t="s">
        <v>240</v>
      </c>
      <c r="E5853" s="3">
        <f>HYPERLINK("https://sao.dolgi.msk.ru/account/1404115589/", 1404115589)</f>
        <v>1404115589</v>
      </c>
      <c r="F5853">
        <v>-328.69</v>
      </c>
    </row>
    <row r="5854" spans="1:6" hidden="1" x14ac:dyDescent="0.25">
      <c r="A5854" t="s">
        <v>668</v>
      </c>
      <c r="B5854" t="s">
        <v>241</v>
      </c>
      <c r="E5854" s="3">
        <f>HYPERLINK("https://sao.dolgi.msk.ru/account/1404116055/", 1404116055)</f>
        <v>1404116055</v>
      </c>
      <c r="F5854">
        <v>-7343.7</v>
      </c>
    </row>
    <row r="5855" spans="1:6" hidden="1" x14ac:dyDescent="0.25">
      <c r="A5855" t="s">
        <v>668</v>
      </c>
      <c r="B5855" t="s">
        <v>242</v>
      </c>
      <c r="E5855" s="3">
        <f>HYPERLINK("https://sao.dolgi.msk.ru/account/1404116346/", 1404116346)</f>
        <v>1404116346</v>
      </c>
      <c r="F5855">
        <v>-4509.55</v>
      </c>
    </row>
    <row r="5856" spans="1:6" hidden="1" x14ac:dyDescent="0.25">
      <c r="A5856" t="s">
        <v>668</v>
      </c>
      <c r="B5856" t="s">
        <v>243</v>
      </c>
      <c r="E5856" s="3">
        <f>HYPERLINK("https://sao.dolgi.msk.ru/account/1404116063/", 1404116063)</f>
        <v>1404116063</v>
      </c>
      <c r="F5856">
        <v>-1119.47</v>
      </c>
    </row>
    <row r="5857" spans="1:6" hidden="1" x14ac:dyDescent="0.25">
      <c r="A5857" t="s">
        <v>668</v>
      </c>
      <c r="B5857" t="s">
        <v>244</v>
      </c>
      <c r="E5857" s="3">
        <f>HYPERLINK("https://sao.dolgi.msk.ru/account/1404115909/", 1404115909)</f>
        <v>1404115909</v>
      </c>
      <c r="F5857">
        <v>-7196.45</v>
      </c>
    </row>
    <row r="5858" spans="1:6" hidden="1" x14ac:dyDescent="0.25">
      <c r="A5858" t="s">
        <v>668</v>
      </c>
      <c r="B5858" t="s">
        <v>245</v>
      </c>
      <c r="E5858" s="3">
        <f>HYPERLINK("https://sao.dolgi.msk.ru/account/1404115482/", 1404115482)</f>
        <v>1404115482</v>
      </c>
      <c r="F5858">
        <v>0</v>
      </c>
    </row>
    <row r="5859" spans="1:6" hidden="1" x14ac:dyDescent="0.25">
      <c r="A5859" t="s">
        <v>668</v>
      </c>
      <c r="B5859" t="s">
        <v>246</v>
      </c>
      <c r="E5859" s="3">
        <f>HYPERLINK("https://sao.dolgi.msk.ru/account/1404116071/", 1404116071)</f>
        <v>1404116071</v>
      </c>
      <c r="F5859">
        <v>-2560.4699999999998</v>
      </c>
    </row>
    <row r="5860" spans="1:6" hidden="1" x14ac:dyDescent="0.25">
      <c r="A5860" t="s">
        <v>668</v>
      </c>
      <c r="B5860" t="s">
        <v>247</v>
      </c>
      <c r="E5860" s="3">
        <f>HYPERLINK("https://sao.dolgi.msk.ru/account/1404116194/", 1404116194)</f>
        <v>1404116194</v>
      </c>
      <c r="F5860">
        <v>-14145.7</v>
      </c>
    </row>
    <row r="5861" spans="1:6" hidden="1" x14ac:dyDescent="0.25">
      <c r="A5861" t="s">
        <v>668</v>
      </c>
      <c r="B5861" t="s">
        <v>248</v>
      </c>
      <c r="E5861" s="3">
        <f>HYPERLINK("https://sao.dolgi.msk.ru/account/1404116354/", 1404116354)</f>
        <v>1404116354</v>
      </c>
      <c r="F5861">
        <v>0</v>
      </c>
    </row>
    <row r="5862" spans="1:6" hidden="1" x14ac:dyDescent="0.25">
      <c r="A5862" t="s">
        <v>668</v>
      </c>
      <c r="B5862" t="s">
        <v>249</v>
      </c>
      <c r="E5862" s="3">
        <f>HYPERLINK("https://sao.dolgi.msk.ru/account/1404116098/", 1404116098)</f>
        <v>1404116098</v>
      </c>
      <c r="F5862">
        <v>-4450.42</v>
      </c>
    </row>
    <row r="5863" spans="1:6" hidden="1" x14ac:dyDescent="0.25">
      <c r="A5863" t="s">
        <v>668</v>
      </c>
      <c r="B5863" t="s">
        <v>250</v>
      </c>
      <c r="E5863" s="3">
        <f>HYPERLINK("https://sao.dolgi.msk.ru/account/1404115597/", 1404115597)</f>
        <v>1404115597</v>
      </c>
      <c r="F5863">
        <v>-2654.82</v>
      </c>
    </row>
    <row r="5864" spans="1:6" hidden="1" x14ac:dyDescent="0.25">
      <c r="A5864" t="s">
        <v>668</v>
      </c>
      <c r="B5864" t="s">
        <v>251</v>
      </c>
      <c r="E5864" s="3">
        <f>HYPERLINK("https://sao.dolgi.msk.ru/account/1404116362/", 1404116362)</f>
        <v>1404116362</v>
      </c>
      <c r="F5864">
        <v>-5649.46</v>
      </c>
    </row>
    <row r="5865" spans="1:6" hidden="1" x14ac:dyDescent="0.25">
      <c r="A5865" t="s">
        <v>668</v>
      </c>
      <c r="B5865" t="s">
        <v>252</v>
      </c>
      <c r="E5865" s="3">
        <f>HYPERLINK("https://sao.dolgi.msk.ru/account/1404116119/", 1404116119)</f>
        <v>1404116119</v>
      </c>
      <c r="F5865">
        <v>-4267.93</v>
      </c>
    </row>
    <row r="5866" spans="1:6" hidden="1" x14ac:dyDescent="0.25">
      <c r="A5866" t="s">
        <v>668</v>
      </c>
      <c r="B5866" t="s">
        <v>253</v>
      </c>
      <c r="E5866" s="3">
        <f>HYPERLINK("https://sao.dolgi.msk.ru/account/1404115693/", 1404115693)</f>
        <v>1404115693</v>
      </c>
      <c r="F5866">
        <v>0</v>
      </c>
    </row>
    <row r="5867" spans="1:6" hidden="1" x14ac:dyDescent="0.25">
      <c r="A5867" t="s">
        <v>668</v>
      </c>
      <c r="B5867" t="s">
        <v>254</v>
      </c>
      <c r="E5867" s="3">
        <f>HYPERLINK("https://sao.dolgi.msk.ru/account/1404115706/", 1404115706)</f>
        <v>1404115706</v>
      </c>
      <c r="F5867">
        <v>0</v>
      </c>
    </row>
    <row r="5868" spans="1:6" hidden="1" x14ac:dyDescent="0.25">
      <c r="A5868" t="s">
        <v>668</v>
      </c>
      <c r="B5868" t="s">
        <v>255</v>
      </c>
      <c r="E5868" s="3">
        <f>HYPERLINK("https://sao.dolgi.msk.ru/account/1404116389/", 1404116389)</f>
        <v>1404116389</v>
      </c>
      <c r="F5868">
        <v>-3855.42</v>
      </c>
    </row>
    <row r="5869" spans="1:6" hidden="1" x14ac:dyDescent="0.25">
      <c r="A5869" t="s">
        <v>668</v>
      </c>
      <c r="B5869" t="s">
        <v>256</v>
      </c>
      <c r="E5869" s="3">
        <f>HYPERLINK("https://sao.dolgi.msk.ru/account/1404115917/", 1404115917)</f>
        <v>1404115917</v>
      </c>
      <c r="F5869">
        <v>-3736.74</v>
      </c>
    </row>
    <row r="5870" spans="1:6" hidden="1" x14ac:dyDescent="0.25">
      <c r="A5870" t="s">
        <v>668</v>
      </c>
      <c r="B5870" t="s">
        <v>257</v>
      </c>
      <c r="E5870" s="3">
        <f>HYPERLINK("https://sao.dolgi.msk.ru/account/1404116397/", 1404116397)</f>
        <v>1404116397</v>
      </c>
      <c r="F5870">
        <v>-8195.09</v>
      </c>
    </row>
    <row r="5871" spans="1:6" hidden="1" x14ac:dyDescent="0.25">
      <c r="A5871" t="s">
        <v>668</v>
      </c>
      <c r="B5871" t="s">
        <v>258</v>
      </c>
      <c r="E5871" s="3">
        <f>HYPERLINK("https://sao.dolgi.msk.ru/account/1404115503/", 1404115503)</f>
        <v>1404115503</v>
      </c>
      <c r="F5871">
        <v>0</v>
      </c>
    </row>
    <row r="5872" spans="1:6" hidden="1" x14ac:dyDescent="0.25">
      <c r="A5872" t="s">
        <v>668</v>
      </c>
      <c r="B5872" t="s">
        <v>259</v>
      </c>
      <c r="E5872" s="3">
        <f>HYPERLINK("https://sao.dolgi.msk.ru/account/1404115511/", 1404115511)</f>
        <v>1404115511</v>
      </c>
      <c r="F5872">
        <v>0</v>
      </c>
    </row>
    <row r="5873" spans="1:6" hidden="1" x14ac:dyDescent="0.25">
      <c r="A5873" t="s">
        <v>668</v>
      </c>
      <c r="B5873" t="s">
        <v>260</v>
      </c>
      <c r="E5873" s="3">
        <f>HYPERLINK("https://sao.dolgi.msk.ru/account/1404116127/", 1404116127)</f>
        <v>1404116127</v>
      </c>
      <c r="F5873">
        <v>-2975.07</v>
      </c>
    </row>
    <row r="5874" spans="1:6" hidden="1" x14ac:dyDescent="0.25">
      <c r="A5874" t="s">
        <v>668</v>
      </c>
      <c r="B5874" t="s">
        <v>261</v>
      </c>
      <c r="E5874" s="3">
        <f>HYPERLINK("https://sao.dolgi.msk.ru/account/1404115781/", 1404115781)</f>
        <v>1404115781</v>
      </c>
      <c r="F5874">
        <v>-4526.5200000000004</v>
      </c>
    </row>
    <row r="5875" spans="1:6" hidden="1" x14ac:dyDescent="0.25">
      <c r="A5875" t="s">
        <v>668</v>
      </c>
      <c r="B5875" t="s">
        <v>262</v>
      </c>
      <c r="E5875" s="3">
        <f>HYPERLINK("https://sao.dolgi.msk.ru/account/1404115714/", 1404115714)</f>
        <v>1404115714</v>
      </c>
      <c r="F5875">
        <v>-2181.5700000000002</v>
      </c>
    </row>
    <row r="5876" spans="1:6" hidden="1" x14ac:dyDescent="0.25">
      <c r="A5876" t="s">
        <v>668</v>
      </c>
      <c r="B5876" t="s">
        <v>263</v>
      </c>
      <c r="E5876" s="3">
        <f>HYPERLINK("https://sao.dolgi.msk.ru/account/1404116207/", 1404116207)</f>
        <v>1404116207</v>
      </c>
      <c r="F5876">
        <v>-5050.7</v>
      </c>
    </row>
    <row r="5877" spans="1:6" hidden="1" x14ac:dyDescent="0.25">
      <c r="A5877" t="s">
        <v>668</v>
      </c>
      <c r="B5877" t="s">
        <v>264</v>
      </c>
      <c r="E5877" s="3">
        <f>HYPERLINK("https://sao.dolgi.msk.ru/account/1404116418/", 1404116418)</f>
        <v>1404116418</v>
      </c>
      <c r="F5877">
        <v>-2100.08</v>
      </c>
    </row>
    <row r="5878" spans="1:6" hidden="1" x14ac:dyDescent="0.25">
      <c r="A5878" t="s">
        <v>668</v>
      </c>
      <c r="B5878" t="s">
        <v>265</v>
      </c>
      <c r="E5878" s="3">
        <f>HYPERLINK("https://sao.dolgi.msk.ru/account/1404115925/", 1404115925)</f>
        <v>1404115925</v>
      </c>
      <c r="F5878">
        <v>-6975.55</v>
      </c>
    </row>
    <row r="5879" spans="1:6" hidden="1" x14ac:dyDescent="0.25">
      <c r="A5879" t="s">
        <v>668</v>
      </c>
      <c r="B5879" t="s">
        <v>266</v>
      </c>
      <c r="E5879" s="3">
        <f>HYPERLINK("https://sao.dolgi.msk.ru/account/1404115722/", 1404115722)</f>
        <v>1404115722</v>
      </c>
      <c r="F5879">
        <v>0</v>
      </c>
    </row>
    <row r="5880" spans="1:6" hidden="1" x14ac:dyDescent="0.25">
      <c r="A5880" t="s">
        <v>668</v>
      </c>
      <c r="B5880" t="s">
        <v>267</v>
      </c>
      <c r="E5880" s="3">
        <f>HYPERLINK("https://sao.dolgi.msk.ru/account/1404116135/", 1404116135)</f>
        <v>1404116135</v>
      </c>
      <c r="F5880">
        <v>0</v>
      </c>
    </row>
    <row r="5881" spans="1:6" hidden="1" x14ac:dyDescent="0.25">
      <c r="A5881" t="s">
        <v>668</v>
      </c>
      <c r="B5881" t="s">
        <v>268</v>
      </c>
      <c r="E5881" s="3">
        <f>HYPERLINK("https://sao.dolgi.msk.ru/account/1404115538/", 1404115538)</f>
        <v>1404115538</v>
      </c>
      <c r="F5881">
        <v>-5390.53</v>
      </c>
    </row>
    <row r="5882" spans="1:6" x14ac:dyDescent="0.25">
      <c r="A5882" t="s">
        <v>668</v>
      </c>
      <c r="B5882" t="s">
        <v>269</v>
      </c>
      <c r="C5882" s="5" t="str">
        <f>" кв. "&amp;B5882</f>
        <v xml:space="preserve"> кв. 262</v>
      </c>
      <c r="D5882" s="5" t="str">
        <f>CONCATENATE(A5882,C5882)</f>
        <v>Ленинградское шоссе, дом 96 к.3 кв. 262</v>
      </c>
      <c r="E5882" s="3">
        <f>HYPERLINK("https://sao.dolgi.msk.ru/account/1404115749/", 1404115749)</f>
        <v>1404115749</v>
      </c>
      <c r="F5882">
        <v>3375.46</v>
      </c>
    </row>
    <row r="5883" spans="1:6" hidden="1" x14ac:dyDescent="0.25">
      <c r="A5883" t="s">
        <v>668</v>
      </c>
      <c r="B5883" t="s">
        <v>270</v>
      </c>
      <c r="E5883" s="3">
        <f>HYPERLINK("https://sao.dolgi.msk.ru/account/1404116215/", 1404116215)</f>
        <v>1404116215</v>
      </c>
      <c r="F5883">
        <v>-3040.01</v>
      </c>
    </row>
    <row r="5884" spans="1:6" hidden="1" x14ac:dyDescent="0.25">
      <c r="A5884" t="s">
        <v>668</v>
      </c>
      <c r="B5884" t="s">
        <v>271</v>
      </c>
      <c r="E5884" s="3">
        <f>HYPERLINK("https://sao.dolgi.msk.ru/account/1404115933/", 1404115933)</f>
        <v>1404115933</v>
      </c>
      <c r="F5884">
        <v>-2631.3</v>
      </c>
    </row>
    <row r="5885" spans="1:6" hidden="1" x14ac:dyDescent="0.25">
      <c r="A5885" t="s">
        <v>668</v>
      </c>
      <c r="B5885" t="s">
        <v>272</v>
      </c>
      <c r="E5885" s="3">
        <f>HYPERLINK("https://sao.dolgi.msk.ru/account/1404115546/", 1404115546)</f>
        <v>1404115546</v>
      </c>
      <c r="F5885">
        <v>-3180.59</v>
      </c>
    </row>
    <row r="5886" spans="1:6" hidden="1" x14ac:dyDescent="0.25">
      <c r="A5886" t="s">
        <v>668</v>
      </c>
      <c r="B5886" t="s">
        <v>273</v>
      </c>
      <c r="E5886" s="3">
        <f>HYPERLINK("https://sao.dolgi.msk.ru/account/1404115802/", 1404115802)</f>
        <v>1404115802</v>
      </c>
      <c r="F5886">
        <v>-7328.92</v>
      </c>
    </row>
    <row r="5887" spans="1:6" hidden="1" x14ac:dyDescent="0.25">
      <c r="A5887" t="s">
        <v>668</v>
      </c>
      <c r="B5887" t="s">
        <v>274</v>
      </c>
      <c r="E5887" s="3">
        <f>HYPERLINK("https://sao.dolgi.msk.ru/account/1404115829/", 1404115829)</f>
        <v>1404115829</v>
      </c>
      <c r="F5887">
        <v>-2555.9499999999998</v>
      </c>
    </row>
    <row r="5888" spans="1:6" hidden="1" x14ac:dyDescent="0.25">
      <c r="A5888" t="s">
        <v>668</v>
      </c>
      <c r="B5888" t="s">
        <v>275</v>
      </c>
      <c r="E5888" s="3">
        <f>HYPERLINK("https://sao.dolgi.msk.ru/account/1404116223/", 1404116223)</f>
        <v>1404116223</v>
      </c>
      <c r="F5888">
        <v>0</v>
      </c>
    </row>
    <row r="5889" spans="1:6" hidden="1" x14ac:dyDescent="0.25">
      <c r="A5889" t="s">
        <v>668</v>
      </c>
      <c r="B5889" t="s">
        <v>276</v>
      </c>
      <c r="E5889" s="3">
        <f>HYPERLINK("https://sao.dolgi.msk.ru/account/1404115941/", 1404115941)</f>
        <v>1404115941</v>
      </c>
      <c r="F5889">
        <v>-214.62</v>
      </c>
    </row>
    <row r="5890" spans="1:6" hidden="1" x14ac:dyDescent="0.25">
      <c r="A5890" t="s">
        <v>668</v>
      </c>
      <c r="B5890" t="s">
        <v>277</v>
      </c>
      <c r="E5890" s="3">
        <f>HYPERLINK("https://sao.dolgi.msk.ru/account/1404116426/", 1404116426)</f>
        <v>1404116426</v>
      </c>
      <c r="F5890">
        <v>0</v>
      </c>
    </row>
    <row r="5891" spans="1:6" hidden="1" x14ac:dyDescent="0.25">
      <c r="A5891" t="s">
        <v>668</v>
      </c>
      <c r="B5891" t="s">
        <v>278</v>
      </c>
      <c r="E5891" s="3">
        <f>HYPERLINK("https://sao.dolgi.msk.ru/account/1404116434/", 1404116434)</f>
        <v>1404116434</v>
      </c>
      <c r="F5891">
        <v>-2346.4299999999998</v>
      </c>
    </row>
    <row r="5892" spans="1:6" hidden="1" x14ac:dyDescent="0.25">
      <c r="A5892" t="s">
        <v>668</v>
      </c>
      <c r="B5892" t="s">
        <v>279</v>
      </c>
      <c r="E5892" s="3">
        <f>HYPERLINK("https://sao.dolgi.msk.ru/account/1404115968/", 1404115968)</f>
        <v>1404115968</v>
      </c>
      <c r="F5892">
        <v>-8278.8799999999992</v>
      </c>
    </row>
    <row r="5893" spans="1:6" hidden="1" x14ac:dyDescent="0.25">
      <c r="A5893" t="s">
        <v>668</v>
      </c>
      <c r="B5893" t="s">
        <v>280</v>
      </c>
      <c r="E5893" s="3">
        <f>HYPERLINK("https://sao.dolgi.msk.ru/account/1404116231/", 1404116231)</f>
        <v>1404116231</v>
      </c>
      <c r="F5893">
        <v>-3985.31</v>
      </c>
    </row>
    <row r="5894" spans="1:6" hidden="1" x14ac:dyDescent="0.25">
      <c r="A5894" t="s">
        <v>668</v>
      </c>
      <c r="B5894" t="s">
        <v>281</v>
      </c>
      <c r="E5894" s="3">
        <f>HYPERLINK("https://sao.dolgi.msk.ru/account/1404115976/", 1404115976)</f>
        <v>1404115976</v>
      </c>
      <c r="F5894">
        <v>-2446.7800000000002</v>
      </c>
    </row>
    <row r="5895" spans="1:6" hidden="1" x14ac:dyDescent="0.25">
      <c r="A5895" t="s">
        <v>668</v>
      </c>
      <c r="B5895" t="s">
        <v>282</v>
      </c>
      <c r="E5895" s="3">
        <f>HYPERLINK("https://sao.dolgi.msk.ru/account/1404115618/", 1404115618)</f>
        <v>1404115618</v>
      </c>
      <c r="F5895">
        <v>-4069.84</v>
      </c>
    </row>
    <row r="5896" spans="1:6" x14ac:dyDescent="0.25">
      <c r="A5896" t="s">
        <v>669</v>
      </c>
      <c r="B5896" t="s">
        <v>283</v>
      </c>
      <c r="C5896" s="5" t="str">
        <f>" кв. "&amp;B5896</f>
        <v xml:space="preserve"> кв. 276</v>
      </c>
      <c r="D5896" s="5" t="str">
        <f>CONCATENATE(A5896,C5896)</f>
        <v>Ленинградское шоссе, дом 96 к.4 кв. 276</v>
      </c>
      <c r="E5896" s="3">
        <f>HYPERLINK("https://sao.dolgi.msk.ru/account/1404116565/", 1404116565)</f>
        <v>1404116565</v>
      </c>
      <c r="F5896">
        <v>5894.57</v>
      </c>
    </row>
    <row r="5897" spans="1:6" hidden="1" x14ac:dyDescent="0.25">
      <c r="A5897" t="s">
        <v>669</v>
      </c>
      <c r="B5897" t="s">
        <v>284</v>
      </c>
      <c r="E5897" s="3">
        <f>HYPERLINK("https://sao.dolgi.msk.ru/account/1404117269/", 1404117269)</f>
        <v>1404117269</v>
      </c>
      <c r="F5897">
        <v>-613.16</v>
      </c>
    </row>
    <row r="5898" spans="1:6" x14ac:dyDescent="0.25">
      <c r="A5898" t="s">
        <v>669</v>
      </c>
      <c r="B5898" t="s">
        <v>285</v>
      </c>
      <c r="C5898" s="5" t="str">
        <f>" кв. "&amp;B5898</f>
        <v xml:space="preserve"> кв. 278</v>
      </c>
      <c r="D5898" s="5" t="str">
        <f>CONCATENATE(A5898,C5898)</f>
        <v>Ленинградское шоссе, дом 96 к.4 кв. 278</v>
      </c>
      <c r="E5898" s="3">
        <f>HYPERLINK("https://sao.dolgi.msk.ru/account/1404117031/", 1404117031)</f>
        <v>1404117031</v>
      </c>
      <c r="F5898">
        <v>17792.310000000001</v>
      </c>
    </row>
    <row r="5899" spans="1:6" hidden="1" x14ac:dyDescent="0.25">
      <c r="A5899" t="s">
        <v>669</v>
      </c>
      <c r="B5899" t="s">
        <v>286</v>
      </c>
      <c r="E5899" s="3">
        <f>HYPERLINK("https://sao.dolgi.msk.ru/account/1404116573/", 1404116573)</f>
        <v>1404116573</v>
      </c>
      <c r="F5899">
        <v>-10524.98</v>
      </c>
    </row>
    <row r="5900" spans="1:6" hidden="1" x14ac:dyDescent="0.25">
      <c r="A5900" t="s">
        <v>669</v>
      </c>
      <c r="B5900" t="s">
        <v>287</v>
      </c>
      <c r="E5900" s="3">
        <f>HYPERLINK("https://sao.dolgi.msk.ru/account/1404116792/", 1404116792)</f>
        <v>1404116792</v>
      </c>
      <c r="F5900">
        <v>-3717</v>
      </c>
    </row>
    <row r="5901" spans="1:6" hidden="1" x14ac:dyDescent="0.25">
      <c r="A5901" t="s">
        <v>669</v>
      </c>
      <c r="B5901" t="s">
        <v>288</v>
      </c>
      <c r="E5901" s="3">
        <f>HYPERLINK("https://sao.dolgi.msk.ru/account/1404116688/", 1404116688)</f>
        <v>1404116688</v>
      </c>
      <c r="F5901">
        <v>0</v>
      </c>
    </row>
    <row r="5902" spans="1:6" hidden="1" x14ac:dyDescent="0.25">
      <c r="A5902" t="s">
        <v>669</v>
      </c>
      <c r="B5902" t="s">
        <v>289</v>
      </c>
      <c r="E5902" s="3">
        <f>HYPERLINK("https://sao.dolgi.msk.ru/account/1404117111/", 1404117111)</f>
        <v>1404117111</v>
      </c>
      <c r="F5902">
        <v>-7463.11</v>
      </c>
    </row>
    <row r="5903" spans="1:6" x14ac:dyDescent="0.25">
      <c r="A5903" t="s">
        <v>669</v>
      </c>
      <c r="B5903" t="s">
        <v>290</v>
      </c>
      <c r="C5903" s="5" t="str">
        <f>" кв. "&amp;B5903</f>
        <v xml:space="preserve"> кв. 283</v>
      </c>
      <c r="D5903" s="5" t="str">
        <f>CONCATENATE(A5903,C5903)</f>
        <v>Ленинградское шоссе, дом 96 к.4 кв. 283</v>
      </c>
      <c r="E5903" s="3">
        <f>HYPERLINK("https://sao.dolgi.msk.ru/account/1404116581/", 1404116581)</f>
        <v>1404116581</v>
      </c>
      <c r="F5903">
        <v>4522.03</v>
      </c>
    </row>
    <row r="5904" spans="1:6" hidden="1" x14ac:dyDescent="0.25">
      <c r="A5904" t="s">
        <v>669</v>
      </c>
      <c r="B5904" t="s">
        <v>291</v>
      </c>
      <c r="E5904" s="3">
        <f>HYPERLINK("https://sao.dolgi.msk.ru/account/1404117277/", 1404117277)</f>
        <v>1404117277</v>
      </c>
      <c r="F5904">
        <v>-3043.09</v>
      </c>
    </row>
    <row r="5905" spans="1:6" x14ac:dyDescent="0.25">
      <c r="A5905" t="s">
        <v>669</v>
      </c>
      <c r="B5905" t="s">
        <v>292</v>
      </c>
      <c r="C5905" s="5" t="str">
        <f>" кв. "&amp;B5905</f>
        <v xml:space="preserve"> кв. 285</v>
      </c>
      <c r="D5905" s="5" t="str">
        <f>CONCATENATE(A5905,C5905)</f>
        <v>Ленинградское шоссе, дом 96 к.4 кв. 285</v>
      </c>
      <c r="E5905" s="3">
        <f>HYPERLINK("https://sao.dolgi.msk.ru/account/1404117138/", 1404117138)</f>
        <v>1404117138</v>
      </c>
      <c r="F5905">
        <v>4044.22</v>
      </c>
    </row>
    <row r="5906" spans="1:6" hidden="1" x14ac:dyDescent="0.25">
      <c r="A5906" t="s">
        <v>669</v>
      </c>
      <c r="B5906" t="s">
        <v>293</v>
      </c>
      <c r="E5906" s="3">
        <f>HYPERLINK("https://sao.dolgi.msk.ru/account/1404116602/", 1404116602)</f>
        <v>1404116602</v>
      </c>
      <c r="F5906">
        <v>-4647.2</v>
      </c>
    </row>
    <row r="5907" spans="1:6" hidden="1" x14ac:dyDescent="0.25">
      <c r="A5907" t="s">
        <v>669</v>
      </c>
      <c r="B5907" t="s">
        <v>294</v>
      </c>
      <c r="E5907" s="3">
        <f>HYPERLINK("https://sao.dolgi.msk.ru/account/1404116805/", 1404116805)</f>
        <v>1404116805</v>
      </c>
      <c r="F5907">
        <v>-5269.04</v>
      </c>
    </row>
    <row r="5908" spans="1:6" hidden="1" x14ac:dyDescent="0.25">
      <c r="A5908" t="s">
        <v>669</v>
      </c>
      <c r="B5908" t="s">
        <v>295</v>
      </c>
      <c r="E5908" s="3">
        <f>HYPERLINK("https://sao.dolgi.msk.ru/account/1404117146/", 1404117146)</f>
        <v>1404117146</v>
      </c>
      <c r="F5908">
        <v>-32576.29</v>
      </c>
    </row>
    <row r="5909" spans="1:6" hidden="1" x14ac:dyDescent="0.25">
      <c r="A5909" t="s">
        <v>669</v>
      </c>
      <c r="B5909" t="s">
        <v>296</v>
      </c>
      <c r="E5909" s="3">
        <f>HYPERLINK("https://sao.dolgi.msk.ru/account/1404117285/", 1404117285)</f>
        <v>1404117285</v>
      </c>
      <c r="F5909">
        <v>-2255.12</v>
      </c>
    </row>
    <row r="5910" spans="1:6" hidden="1" x14ac:dyDescent="0.25">
      <c r="A5910" t="s">
        <v>669</v>
      </c>
      <c r="B5910" t="s">
        <v>297</v>
      </c>
      <c r="E5910" s="3">
        <f>HYPERLINK("https://sao.dolgi.msk.ru/account/1404116629/", 1404116629)</f>
        <v>1404116629</v>
      </c>
      <c r="F5910">
        <v>-6007.22</v>
      </c>
    </row>
    <row r="5911" spans="1:6" hidden="1" x14ac:dyDescent="0.25">
      <c r="A5911" t="s">
        <v>669</v>
      </c>
      <c r="B5911" t="s">
        <v>298</v>
      </c>
      <c r="E5911" s="3">
        <f>HYPERLINK("https://sao.dolgi.msk.ru/account/1404116442/", 1404116442)</f>
        <v>1404116442</v>
      </c>
      <c r="F5911">
        <v>0</v>
      </c>
    </row>
    <row r="5912" spans="1:6" hidden="1" x14ac:dyDescent="0.25">
      <c r="A5912" t="s">
        <v>669</v>
      </c>
      <c r="B5912" t="s">
        <v>299</v>
      </c>
      <c r="E5912" s="3">
        <f>HYPERLINK("https://sao.dolgi.msk.ru/account/1404116813/", 1404116813)</f>
        <v>1404116813</v>
      </c>
      <c r="F5912">
        <v>-3377.9</v>
      </c>
    </row>
    <row r="5913" spans="1:6" hidden="1" x14ac:dyDescent="0.25">
      <c r="A5913" t="s">
        <v>669</v>
      </c>
      <c r="B5913" t="s">
        <v>300</v>
      </c>
      <c r="E5913" s="3">
        <f>HYPERLINK("https://sao.dolgi.msk.ru/account/1404116637/", 1404116637)</f>
        <v>1404116637</v>
      </c>
      <c r="F5913">
        <v>-4716.0200000000004</v>
      </c>
    </row>
    <row r="5914" spans="1:6" hidden="1" x14ac:dyDescent="0.25">
      <c r="A5914" t="s">
        <v>669</v>
      </c>
      <c r="B5914" t="s">
        <v>301</v>
      </c>
      <c r="E5914" s="3">
        <f>HYPERLINK("https://sao.dolgi.msk.ru/account/1404117293/", 1404117293)</f>
        <v>1404117293</v>
      </c>
      <c r="F5914">
        <v>-4577.7299999999996</v>
      </c>
    </row>
    <row r="5915" spans="1:6" hidden="1" x14ac:dyDescent="0.25">
      <c r="A5915" t="s">
        <v>669</v>
      </c>
      <c r="B5915" t="s">
        <v>302</v>
      </c>
      <c r="E5915" s="3">
        <f>HYPERLINK("https://sao.dolgi.msk.ru/account/1404117058/", 1404117058)</f>
        <v>1404117058</v>
      </c>
      <c r="F5915">
        <v>-2922.68</v>
      </c>
    </row>
    <row r="5916" spans="1:6" x14ac:dyDescent="0.25">
      <c r="A5916" t="s">
        <v>669</v>
      </c>
      <c r="B5916" t="s">
        <v>303</v>
      </c>
      <c r="C5916" s="5" t="str">
        <f t="shared" ref="C5916:C5917" si="261">" кв. "&amp;B5916</f>
        <v xml:space="preserve"> кв. 296</v>
      </c>
      <c r="D5916" s="5" t="str">
        <f>CONCATENATE(A5916,C5916)</f>
        <v>Ленинградское шоссе, дом 96 к.4 кв. 296</v>
      </c>
      <c r="E5916" s="3">
        <f>HYPERLINK("https://sao.dolgi.msk.ru/account/1404117154/", 1404117154)</f>
        <v>1404117154</v>
      </c>
      <c r="F5916">
        <v>4785.6099999999997</v>
      </c>
    </row>
    <row r="5917" spans="1:6" x14ac:dyDescent="0.25">
      <c r="A5917" t="s">
        <v>669</v>
      </c>
      <c r="B5917" t="s">
        <v>304</v>
      </c>
      <c r="C5917" s="5" t="str">
        <f t="shared" si="261"/>
        <v xml:space="preserve"> кв. 297</v>
      </c>
      <c r="D5917" s="5" t="str">
        <f>CONCATENATE(A5917,C5917)</f>
        <v>Ленинградское шоссе, дом 96 к.4 кв. 297</v>
      </c>
      <c r="E5917" s="3">
        <f>HYPERLINK("https://sao.dolgi.msk.ru/account/1404116696/", 1404116696)</f>
        <v>1404116696</v>
      </c>
      <c r="F5917">
        <v>4021.48</v>
      </c>
    </row>
    <row r="5918" spans="1:6" hidden="1" x14ac:dyDescent="0.25">
      <c r="A5918" t="s">
        <v>669</v>
      </c>
      <c r="B5918" t="s">
        <v>305</v>
      </c>
      <c r="E5918" s="3">
        <f>HYPERLINK("https://sao.dolgi.msk.ru/account/1404116821/", 1404116821)</f>
        <v>1404116821</v>
      </c>
      <c r="F5918">
        <v>0</v>
      </c>
    </row>
    <row r="5919" spans="1:6" hidden="1" x14ac:dyDescent="0.25">
      <c r="A5919" t="s">
        <v>669</v>
      </c>
      <c r="B5919" t="s">
        <v>306</v>
      </c>
      <c r="E5919" s="3">
        <f>HYPERLINK("https://sao.dolgi.msk.ru/account/1404116645/", 1404116645)</f>
        <v>1404116645</v>
      </c>
      <c r="F5919">
        <v>-5144.53</v>
      </c>
    </row>
    <row r="5920" spans="1:6" hidden="1" x14ac:dyDescent="0.25">
      <c r="A5920" t="s">
        <v>669</v>
      </c>
      <c r="B5920" t="s">
        <v>307</v>
      </c>
      <c r="E5920" s="3">
        <f>HYPERLINK("https://sao.dolgi.msk.ru/account/1404116848/", 1404116848)</f>
        <v>1404116848</v>
      </c>
      <c r="F5920">
        <v>0</v>
      </c>
    </row>
    <row r="5921" spans="1:6" hidden="1" x14ac:dyDescent="0.25">
      <c r="A5921" t="s">
        <v>669</v>
      </c>
      <c r="B5921" t="s">
        <v>308</v>
      </c>
      <c r="E5921" s="3">
        <f>HYPERLINK("https://sao.dolgi.msk.ru/account/1404116709/", 1404116709)</f>
        <v>1404116709</v>
      </c>
      <c r="F5921">
        <v>-14.48</v>
      </c>
    </row>
    <row r="5922" spans="1:6" hidden="1" x14ac:dyDescent="0.25">
      <c r="A5922" t="s">
        <v>669</v>
      </c>
      <c r="B5922" t="s">
        <v>309</v>
      </c>
      <c r="E5922" s="3">
        <f>HYPERLINK("https://sao.dolgi.msk.ru/account/1404116717/", 1404116717)</f>
        <v>1404116717</v>
      </c>
      <c r="F5922">
        <v>0</v>
      </c>
    </row>
    <row r="5923" spans="1:6" x14ac:dyDescent="0.25">
      <c r="A5923" t="s">
        <v>669</v>
      </c>
      <c r="B5923" t="s">
        <v>310</v>
      </c>
      <c r="C5923" s="5" t="str">
        <f>" кв. "&amp;B5923</f>
        <v xml:space="preserve"> кв. 303</v>
      </c>
      <c r="D5923" s="5" t="str">
        <f>CONCATENATE(A5923,C5923)</f>
        <v>Ленинградское шоссе, дом 96 к.4 кв. 303</v>
      </c>
      <c r="E5923" s="3">
        <f>HYPERLINK("https://sao.dolgi.msk.ru/account/1404116653/", 1404116653)</f>
        <v>1404116653</v>
      </c>
      <c r="F5923">
        <v>19757.68</v>
      </c>
    </row>
    <row r="5924" spans="1:6" hidden="1" x14ac:dyDescent="0.25">
      <c r="A5924" t="s">
        <v>669</v>
      </c>
      <c r="B5924" t="s">
        <v>311</v>
      </c>
      <c r="E5924" s="3">
        <f>HYPERLINK("https://sao.dolgi.msk.ru/account/1404117306/", 1404117306)</f>
        <v>1404117306</v>
      </c>
      <c r="F5924">
        <v>-1902.47</v>
      </c>
    </row>
    <row r="5925" spans="1:6" hidden="1" x14ac:dyDescent="0.25">
      <c r="A5925" t="s">
        <v>669</v>
      </c>
      <c r="B5925" t="s">
        <v>312</v>
      </c>
      <c r="E5925" s="3">
        <f>HYPERLINK("https://sao.dolgi.msk.ru/account/1404116725/", 1404116725)</f>
        <v>1404116725</v>
      </c>
      <c r="F5925">
        <v>-4798.8999999999996</v>
      </c>
    </row>
    <row r="5926" spans="1:6" hidden="1" x14ac:dyDescent="0.25">
      <c r="A5926" t="s">
        <v>669</v>
      </c>
      <c r="B5926" t="s">
        <v>313</v>
      </c>
      <c r="E5926" s="3">
        <f>HYPERLINK("https://sao.dolgi.msk.ru/account/1404116469/", 1404116469)</f>
        <v>1404116469</v>
      </c>
      <c r="F5926">
        <v>-6261.87</v>
      </c>
    </row>
    <row r="5927" spans="1:6" hidden="1" x14ac:dyDescent="0.25">
      <c r="A5927" t="s">
        <v>669</v>
      </c>
      <c r="B5927" t="s">
        <v>314</v>
      </c>
      <c r="E5927" s="3">
        <f>HYPERLINK("https://sao.dolgi.msk.ru/account/1404117066/", 1404117066)</f>
        <v>1404117066</v>
      </c>
      <c r="F5927">
        <v>-2335.83</v>
      </c>
    </row>
    <row r="5928" spans="1:6" hidden="1" x14ac:dyDescent="0.25">
      <c r="A5928" t="s">
        <v>669</v>
      </c>
      <c r="B5928" t="s">
        <v>315</v>
      </c>
      <c r="E5928" s="3">
        <f>HYPERLINK("https://sao.dolgi.msk.ru/account/1404116733/", 1404116733)</f>
        <v>1404116733</v>
      </c>
      <c r="F5928">
        <v>-2478.56</v>
      </c>
    </row>
    <row r="5929" spans="1:6" hidden="1" x14ac:dyDescent="0.25">
      <c r="A5929" t="s">
        <v>669</v>
      </c>
      <c r="B5929" t="s">
        <v>316</v>
      </c>
      <c r="E5929" s="3">
        <f>HYPERLINK("https://sao.dolgi.msk.ru/account/1404116856/", 1404116856)</f>
        <v>1404116856</v>
      </c>
      <c r="F5929">
        <v>0</v>
      </c>
    </row>
    <row r="5930" spans="1:6" hidden="1" x14ac:dyDescent="0.25">
      <c r="A5930" t="s">
        <v>669</v>
      </c>
      <c r="B5930" t="s">
        <v>317</v>
      </c>
      <c r="E5930" s="3">
        <f>HYPERLINK("https://sao.dolgi.msk.ru/account/1404117162/", 1404117162)</f>
        <v>1404117162</v>
      </c>
      <c r="F5930">
        <v>-2778.54</v>
      </c>
    </row>
    <row r="5931" spans="1:6" hidden="1" x14ac:dyDescent="0.25">
      <c r="A5931" t="s">
        <v>669</v>
      </c>
      <c r="B5931" t="s">
        <v>318</v>
      </c>
      <c r="E5931" s="3">
        <f>HYPERLINK("https://sao.dolgi.msk.ru/account/1404117314/", 1404117314)</f>
        <v>1404117314</v>
      </c>
      <c r="F5931">
        <v>-5188.57</v>
      </c>
    </row>
    <row r="5932" spans="1:6" hidden="1" x14ac:dyDescent="0.25">
      <c r="A5932" t="s">
        <v>669</v>
      </c>
      <c r="B5932" t="s">
        <v>319</v>
      </c>
      <c r="E5932" s="3">
        <f>HYPERLINK("https://sao.dolgi.msk.ru/account/1404116477/", 1404116477)</f>
        <v>1404116477</v>
      </c>
      <c r="F5932">
        <v>0</v>
      </c>
    </row>
    <row r="5933" spans="1:6" hidden="1" x14ac:dyDescent="0.25">
      <c r="A5933" t="s">
        <v>669</v>
      </c>
      <c r="B5933" t="s">
        <v>422</v>
      </c>
      <c r="E5933" s="3">
        <f>HYPERLINK("https://sao.dolgi.msk.ru/account/1404116485/", 1404116485)</f>
        <v>1404116485</v>
      </c>
      <c r="F5933">
        <v>-28.99</v>
      </c>
    </row>
    <row r="5934" spans="1:6" hidden="1" x14ac:dyDescent="0.25">
      <c r="A5934" t="s">
        <v>669</v>
      </c>
      <c r="B5934" t="s">
        <v>423</v>
      </c>
      <c r="E5934" s="3">
        <f>HYPERLINK("https://sao.dolgi.msk.ru/account/1404116741/", 1404116741)</f>
        <v>1404116741</v>
      </c>
      <c r="F5934">
        <v>-2601.92</v>
      </c>
    </row>
    <row r="5935" spans="1:6" hidden="1" x14ac:dyDescent="0.25">
      <c r="A5935" t="s">
        <v>669</v>
      </c>
      <c r="B5935" t="s">
        <v>424</v>
      </c>
      <c r="E5935" s="3">
        <f>HYPERLINK("https://sao.dolgi.msk.ru/account/1404117322/", 1404117322)</f>
        <v>1404117322</v>
      </c>
      <c r="F5935">
        <v>-4353.5600000000004</v>
      </c>
    </row>
    <row r="5936" spans="1:6" hidden="1" x14ac:dyDescent="0.25">
      <c r="A5936" t="s">
        <v>669</v>
      </c>
      <c r="B5936" t="s">
        <v>425</v>
      </c>
      <c r="E5936" s="3">
        <f>HYPERLINK("https://sao.dolgi.msk.ru/account/1404116995/", 1404116995)</f>
        <v>1404116995</v>
      </c>
      <c r="F5936">
        <v>-4747.12</v>
      </c>
    </row>
    <row r="5937" spans="1:6" hidden="1" x14ac:dyDescent="0.25">
      <c r="A5937" t="s">
        <v>669</v>
      </c>
      <c r="B5937" t="s">
        <v>426</v>
      </c>
      <c r="E5937" s="3">
        <f>HYPERLINK("https://sao.dolgi.msk.ru/account/1404117007/", 1404117007)</f>
        <v>1404117007</v>
      </c>
      <c r="F5937">
        <v>-5147.8500000000004</v>
      </c>
    </row>
    <row r="5938" spans="1:6" hidden="1" x14ac:dyDescent="0.25">
      <c r="A5938" t="s">
        <v>669</v>
      </c>
      <c r="B5938" t="s">
        <v>427</v>
      </c>
      <c r="E5938" s="3">
        <f>HYPERLINK("https://sao.dolgi.msk.ru/account/1404117189/", 1404117189)</f>
        <v>1404117189</v>
      </c>
      <c r="F5938">
        <v>-313.69</v>
      </c>
    </row>
    <row r="5939" spans="1:6" x14ac:dyDescent="0.25">
      <c r="A5939" t="s">
        <v>669</v>
      </c>
      <c r="B5939" t="s">
        <v>428</v>
      </c>
      <c r="C5939" s="5" t="str">
        <f>" кв. "&amp;B5939</f>
        <v xml:space="preserve"> кв. 319</v>
      </c>
      <c r="D5939" s="5" t="str">
        <f>CONCATENATE(A5939,C5939)</f>
        <v>Ленинградское шоссе, дом 96 к.4 кв. 319</v>
      </c>
      <c r="E5939" s="3">
        <f>HYPERLINK("https://sao.dolgi.msk.ru/account/1404117349/", 1404117349)</f>
        <v>1404117349</v>
      </c>
      <c r="F5939">
        <v>5171</v>
      </c>
    </row>
    <row r="5940" spans="1:6" hidden="1" x14ac:dyDescent="0.25">
      <c r="A5940" t="s">
        <v>669</v>
      </c>
      <c r="B5940" t="s">
        <v>321</v>
      </c>
      <c r="E5940" s="3">
        <f>HYPERLINK("https://sao.dolgi.msk.ru/account/1404116864/", 1404116864)</f>
        <v>1404116864</v>
      </c>
      <c r="F5940">
        <v>-185.47</v>
      </c>
    </row>
    <row r="5941" spans="1:6" hidden="1" x14ac:dyDescent="0.25">
      <c r="A5941" t="s">
        <v>669</v>
      </c>
      <c r="B5941" t="s">
        <v>322</v>
      </c>
      <c r="E5941" s="3">
        <f>HYPERLINK("https://sao.dolgi.msk.ru/account/1404117015/", 1404117015)</f>
        <v>1404117015</v>
      </c>
      <c r="F5941">
        <v>-4351.58</v>
      </c>
    </row>
    <row r="5942" spans="1:6" hidden="1" x14ac:dyDescent="0.25">
      <c r="A5942" t="s">
        <v>669</v>
      </c>
      <c r="B5942" t="s">
        <v>322</v>
      </c>
      <c r="E5942" s="3">
        <f>HYPERLINK("https://sao.dolgi.msk.ru/account/1404117242/", 1404117242)</f>
        <v>1404117242</v>
      </c>
      <c r="F5942">
        <v>-3309.34</v>
      </c>
    </row>
    <row r="5943" spans="1:6" hidden="1" x14ac:dyDescent="0.25">
      <c r="A5943" t="s">
        <v>669</v>
      </c>
      <c r="B5943" t="s">
        <v>323</v>
      </c>
      <c r="E5943" s="3">
        <f>HYPERLINK("https://sao.dolgi.msk.ru/account/1404117197/", 1404117197)</f>
        <v>1404117197</v>
      </c>
      <c r="F5943">
        <v>-4077.59</v>
      </c>
    </row>
    <row r="5944" spans="1:6" hidden="1" x14ac:dyDescent="0.25">
      <c r="A5944" t="s">
        <v>669</v>
      </c>
      <c r="B5944" t="s">
        <v>324</v>
      </c>
      <c r="E5944" s="3">
        <f>HYPERLINK("https://sao.dolgi.msk.ru/account/1404116493/", 1404116493)</f>
        <v>1404116493</v>
      </c>
      <c r="F5944">
        <v>0</v>
      </c>
    </row>
    <row r="5945" spans="1:6" x14ac:dyDescent="0.25">
      <c r="A5945" t="s">
        <v>669</v>
      </c>
      <c r="B5945" t="s">
        <v>325</v>
      </c>
      <c r="C5945" s="5" t="str">
        <f>" кв. "&amp;B5945</f>
        <v xml:space="preserve"> кв. 324</v>
      </c>
      <c r="D5945" s="5" t="str">
        <f>CONCATENATE(A5945,C5945)</f>
        <v>Ленинградское шоссе, дом 96 к.4 кв. 324</v>
      </c>
      <c r="E5945" s="3">
        <f>HYPERLINK("https://sao.dolgi.msk.ru/account/1404117074/", 1404117074)</f>
        <v>1404117074</v>
      </c>
      <c r="F5945">
        <v>14148.58</v>
      </c>
    </row>
    <row r="5946" spans="1:6" hidden="1" x14ac:dyDescent="0.25">
      <c r="A5946" t="s">
        <v>669</v>
      </c>
      <c r="B5946" t="s">
        <v>326</v>
      </c>
      <c r="E5946" s="3">
        <f>HYPERLINK("https://sao.dolgi.msk.ru/account/1404116506/", 1404116506)</f>
        <v>1404116506</v>
      </c>
      <c r="F5946">
        <v>-6219.93</v>
      </c>
    </row>
    <row r="5947" spans="1:6" hidden="1" x14ac:dyDescent="0.25">
      <c r="A5947" t="s">
        <v>669</v>
      </c>
      <c r="B5947" t="s">
        <v>327</v>
      </c>
      <c r="E5947" s="3">
        <f>HYPERLINK("https://sao.dolgi.msk.ru/account/1404116768/", 1404116768)</f>
        <v>1404116768</v>
      </c>
      <c r="F5947">
        <v>-3717.85</v>
      </c>
    </row>
    <row r="5948" spans="1:6" hidden="1" x14ac:dyDescent="0.25">
      <c r="A5948" t="s">
        <v>669</v>
      </c>
      <c r="B5948" t="s">
        <v>328</v>
      </c>
      <c r="E5948" s="3">
        <f>HYPERLINK("https://sao.dolgi.msk.ru/account/1404116872/", 1404116872)</f>
        <v>1404116872</v>
      </c>
      <c r="F5948">
        <v>-3983.73</v>
      </c>
    </row>
    <row r="5949" spans="1:6" hidden="1" x14ac:dyDescent="0.25">
      <c r="A5949" t="s">
        <v>669</v>
      </c>
      <c r="B5949" t="s">
        <v>329</v>
      </c>
      <c r="E5949" s="3">
        <f>HYPERLINK("https://sao.dolgi.msk.ru/account/1404116776/", 1404116776)</f>
        <v>1404116776</v>
      </c>
      <c r="F5949">
        <v>-4429.5</v>
      </c>
    </row>
    <row r="5950" spans="1:6" hidden="1" x14ac:dyDescent="0.25">
      <c r="A5950" t="s">
        <v>669</v>
      </c>
      <c r="B5950" t="s">
        <v>330</v>
      </c>
      <c r="E5950" s="3">
        <f>HYPERLINK("https://sao.dolgi.msk.ru/account/1404116899/", 1404116899)</f>
        <v>1404116899</v>
      </c>
      <c r="F5950">
        <v>-3035.38</v>
      </c>
    </row>
    <row r="5951" spans="1:6" hidden="1" x14ac:dyDescent="0.25">
      <c r="A5951" t="s">
        <v>669</v>
      </c>
      <c r="B5951" t="s">
        <v>331</v>
      </c>
      <c r="E5951" s="3">
        <f>HYPERLINK("https://sao.dolgi.msk.ru/account/1404116901/", 1404116901)</f>
        <v>1404116901</v>
      </c>
      <c r="F5951">
        <v>-4832.79</v>
      </c>
    </row>
    <row r="5952" spans="1:6" hidden="1" x14ac:dyDescent="0.25">
      <c r="A5952" t="s">
        <v>669</v>
      </c>
      <c r="B5952" t="s">
        <v>332</v>
      </c>
      <c r="E5952" s="3">
        <f>HYPERLINK("https://sao.dolgi.msk.ru/account/1404117357/", 1404117357)</f>
        <v>1404117357</v>
      </c>
      <c r="F5952">
        <v>-10625.01</v>
      </c>
    </row>
    <row r="5953" spans="1:6" hidden="1" x14ac:dyDescent="0.25">
      <c r="A5953" t="s">
        <v>669</v>
      </c>
      <c r="B5953" t="s">
        <v>333</v>
      </c>
      <c r="E5953" s="3">
        <f>HYPERLINK("https://sao.dolgi.msk.ru/account/1404116514/", 1404116514)</f>
        <v>1404116514</v>
      </c>
      <c r="F5953">
        <v>-3337.04</v>
      </c>
    </row>
    <row r="5954" spans="1:6" hidden="1" x14ac:dyDescent="0.25">
      <c r="A5954" t="s">
        <v>669</v>
      </c>
      <c r="B5954" t="s">
        <v>334</v>
      </c>
      <c r="E5954" s="3">
        <f>HYPERLINK("https://sao.dolgi.msk.ru/account/1404116522/", 1404116522)</f>
        <v>1404116522</v>
      </c>
      <c r="F5954">
        <v>-4843.29</v>
      </c>
    </row>
    <row r="5955" spans="1:6" hidden="1" x14ac:dyDescent="0.25">
      <c r="A5955" t="s">
        <v>669</v>
      </c>
      <c r="B5955" t="s">
        <v>335</v>
      </c>
      <c r="E5955" s="3">
        <f>HYPERLINK("https://sao.dolgi.msk.ru/account/1404117365/", 1404117365)</f>
        <v>1404117365</v>
      </c>
      <c r="F5955">
        <v>-2524.65</v>
      </c>
    </row>
    <row r="5956" spans="1:6" hidden="1" x14ac:dyDescent="0.25">
      <c r="A5956" t="s">
        <v>669</v>
      </c>
      <c r="B5956" t="s">
        <v>336</v>
      </c>
      <c r="E5956" s="3">
        <f>HYPERLINK("https://sao.dolgi.msk.ru/account/1404116928/", 1404116928)</f>
        <v>1404116928</v>
      </c>
      <c r="F5956">
        <v>-5153.32</v>
      </c>
    </row>
    <row r="5957" spans="1:6" hidden="1" x14ac:dyDescent="0.25">
      <c r="A5957" t="s">
        <v>669</v>
      </c>
      <c r="B5957" t="s">
        <v>337</v>
      </c>
      <c r="E5957" s="3">
        <f>HYPERLINK("https://sao.dolgi.msk.ru/account/1404117082/", 1404117082)</f>
        <v>1404117082</v>
      </c>
      <c r="F5957">
        <v>-4278.16</v>
      </c>
    </row>
    <row r="5958" spans="1:6" x14ac:dyDescent="0.25">
      <c r="A5958" t="s">
        <v>669</v>
      </c>
      <c r="B5958" t="s">
        <v>338</v>
      </c>
      <c r="C5958" s="5" t="str">
        <f>" кв. "&amp;B5958</f>
        <v xml:space="preserve"> кв. 337</v>
      </c>
      <c r="D5958" s="5" t="str">
        <f>CONCATENATE(A5958,C5958)</f>
        <v>Ленинградское шоссе, дом 96 к.4 кв. 337</v>
      </c>
      <c r="E5958" s="3">
        <f>HYPERLINK("https://sao.dolgi.msk.ru/account/1404117103/", 1404117103)</f>
        <v>1404117103</v>
      </c>
      <c r="F5958">
        <v>102.46</v>
      </c>
    </row>
    <row r="5959" spans="1:6" hidden="1" x14ac:dyDescent="0.25">
      <c r="A5959" t="s">
        <v>669</v>
      </c>
      <c r="B5959" t="s">
        <v>339</v>
      </c>
      <c r="E5959" s="3">
        <f>HYPERLINK("https://sao.dolgi.msk.ru/account/1404117373/", 1404117373)</f>
        <v>1404117373</v>
      </c>
      <c r="F5959">
        <v>-3661.87</v>
      </c>
    </row>
    <row r="5960" spans="1:6" hidden="1" x14ac:dyDescent="0.25">
      <c r="A5960" t="s">
        <v>669</v>
      </c>
      <c r="B5960" t="s">
        <v>340</v>
      </c>
      <c r="E5960" s="3">
        <f>HYPERLINK("https://sao.dolgi.msk.ru/account/1404117023/", 1404117023)</f>
        <v>1404117023</v>
      </c>
      <c r="F5960">
        <v>0</v>
      </c>
    </row>
    <row r="5961" spans="1:6" hidden="1" x14ac:dyDescent="0.25">
      <c r="A5961" t="s">
        <v>669</v>
      </c>
      <c r="B5961" t="s">
        <v>341</v>
      </c>
      <c r="E5961" s="3">
        <f>HYPERLINK("https://sao.dolgi.msk.ru/account/1404116936/", 1404116936)</f>
        <v>1404116936</v>
      </c>
      <c r="F5961">
        <v>0</v>
      </c>
    </row>
    <row r="5962" spans="1:6" hidden="1" x14ac:dyDescent="0.25">
      <c r="A5962" t="s">
        <v>669</v>
      </c>
      <c r="B5962" t="s">
        <v>342</v>
      </c>
      <c r="E5962" s="3">
        <f>HYPERLINK("https://sao.dolgi.msk.ru/account/1404117218/", 1404117218)</f>
        <v>1404117218</v>
      </c>
      <c r="F5962">
        <v>-5734.14</v>
      </c>
    </row>
    <row r="5963" spans="1:6" hidden="1" x14ac:dyDescent="0.25">
      <c r="A5963" t="s">
        <v>669</v>
      </c>
      <c r="B5963" t="s">
        <v>343</v>
      </c>
      <c r="E5963" s="3">
        <f>HYPERLINK("https://sao.dolgi.msk.ru/account/1404117226/", 1404117226)</f>
        <v>1404117226</v>
      </c>
      <c r="F5963">
        <v>-2364.9699999999998</v>
      </c>
    </row>
    <row r="5964" spans="1:6" hidden="1" x14ac:dyDescent="0.25">
      <c r="A5964" t="s">
        <v>669</v>
      </c>
      <c r="B5964" t="s">
        <v>344</v>
      </c>
      <c r="E5964" s="3">
        <f>HYPERLINK("https://sao.dolgi.msk.ru/account/1404117381/", 1404117381)</f>
        <v>1404117381</v>
      </c>
      <c r="F5964">
        <v>-1829.56</v>
      </c>
    </row>
    <row r="5965" spans="1:6" hidden="1" x14ac:dyDescent="0.25">
      <c r="A5965" t="s">
        <v>669</v>
      </c>
      <c r="B5965" t="s">
        <v>345</v>
      </c>
      <c r="E5965" s="3">
        <f>HYPERLINK("https://sao.dolgi.msk.ru/account/1404116944/", 1404116944)</f>
        <v>1404116944</v>
      </c>
      <c r="F5965">
        <v>-6820.07</v>
      </c>
    </row>
    <row r="5966" spans="1:6" hidden="1" x14ac:dyDescent="0.25">
      <c r="A5966" t="s">
        <v>669</v>
      </c>
      <c r="B5966" t="s">
        <v>346</v>
      </c>
      <c r="E5966" s="3">
        <f>HYPERLINK("https://sao.dolgi.msk.ru/account/1404116952/", 1404116952)</f>
        <v>1404116952</v>
      </c>
      <c r="F5966">
        <v>-3601.43</v>
      </c>
    </row>
    <row r="5967" spans="1:6" hidden="1" x14ac:dyDescent="0.25">
      <c r="A5967" t="s">
        <v>669</v>
      </c>
      <c r="B5967" t="s">
        <v>347</v>
      </c>
      <c r="E5967" s="3">
        <f>HYPERLINK("https://sao.dolgi.msk.ru/account/1404116979/", 1404116979)</f>
        <v>1404116979</v>
      </c>
      <c r="F5967">
        <v>-3156.53</v>
      </c>
    </row>
    <row r="5968" spans="1:6" hidden="1" x14ac:dyDescent="0.25">
      <c r="A5968" t="s">
        <v>669</v>
      </c>
      <c r="B5968" t="s">
        <v>348</v>
      </c>
      <c r="E5968" s="3">
        <f>HYPERLINK("https://sao.dolgi.msk.ru/account/1404117402/", 1404117402)</f>
        <v>1404117402</v>
      </c>
      <c r="F5968">
        <v>-3531.12</v>
      </c>
    </row>
    <row r="5969" spans="1:6" hidden="1" x14ac:dyDescent="0.25">
      <c r="A5969" t="s">
        <v>669</v>
      </c>
      <c r="B5969" t="s">
        <v>349</v>
      </c>
      <c r="E5969" s="3">
        <f>HYPERLINK("https://sao.dolgi.msk.ru/account/1404116661/", 1404116661)</f>
        <v>1404116661</v>
      </c>
      <c r="F5969">
        <v>-5482.7</v>
      </c>
    </row>
    <row r="5970" spans="1:6" hidden="1" x14ac:dyDescent="0.25">
      <c r="A5970" t="s">
        <v>669</v>
      </c>
      <c r="B5970" t="s">
        <v>350</v>
      </c>
      <c r="E5970" s="3">
        <f>HYPERLINK("https://sao.dolgi.msk.ru/account/1404117429/", 1404117429)</f>
        <v>1404117429</v>
      </c>
      <c r="F5970">
        <v>0</v>
      </c>
    </row>
    <row r="5971" spans="1:6" hidden="1" x14ac:dyDescent="0.25">
      <c r="A5971" t="s">
        <v>669</v>
      </c>
      <c r="B5971" t="s">
        <v>351</v>
      </c>
      <c r="E5971" s="3">
        <f>HYPERLINK("https://sao.dolgi.msk.ru/account/1404116549/", 1404116549)</f>
        <v>1404116549</v>
      </c>
      <c r="F5971">
        <v>-3973.42</v>
      </c>
    </row>
    <row r="5972" spans="1:6" hidden="1" x14ac:dyDescent="0.25">
      <c r="A5972" t="s">
        <v>669</v>
      </c>
      <c r="B5972" t="s">
        <v>352</v>
      </c>
      <c r="E5972" s="3">
        <f>HYPERLINK("https://sao.dolgi.msk.ru/account/1404116784/", 1404116784)</f>
        <v>1404116784</v>
      </c>
      <c r="F5972">
        <v>-2262.9499999999998</v>
      </c>
    </row>
    <row r="5973" spans="1:6" hidden="1" x14ac:dyDescent="0.25">
      <c r="A5973" t="s">
        <v>669</v>
      </c>
      <c r="B5973" t="s">
        <v>353</v>
      </c>
      <c r="E5973" s="3">
        <f>HYPERLINK("https://sao.dolgi.msk.ru/account/1404154473/", 1404154473)</f>
        <v>1404154473</v>
      </c>
      <c r="F5973">
        <v>-7.19</v>
      </c>
    </row>
    <row r="5974" spans="1:6" hidden="1" x14ac:dyDescent="0.25">
      <c r="A5974" t="s">
        <v>669</v>
      </c>
      <c r="B5974" t="s">
        <v>354</v>
      </c>
      <c r="E5974" s="3">
        <f>HYPERLINK("https://sao.dolgi.msk.ru/account/1404117437/", 1404117437)</f>
        <v>1404117437</v>
      </c>
      <c r="F5974">
        <v>0</v>
      </c>
    </row>
    <row r="5975" spans="1:6" hidden="1" x14ac:dyDescent="0.25">
      <c r="A5975" t="s">
        <v>669</v>
      </c>
      <c r="B5975" t="s">
        <v>355</v>
      </c>
      <c r="E5975" s="3">
        <f>HYPERLINK("https://sao.dolgi.msk.ru/account/1404116987/", 1404116987)</f>
        <v>1404116987</v>
      </c>
      <c r="F5975">
        <v>-3363.02</v>
      </c>
    </row>
    <row r="5976" spans="1:6" hidden="1" x14ac:dyDescent="0.25">
      <c r="A5976" t="s">
        <v>669</v>
      </c>
      <c r="B5976" t="s">
        <v>356</v>
      </c>
      <c r="E5976" s="3">
        <f>HYPERLINK("https://sao.dolgi.msk.ru/account/1404116557/", 1404116557)</f>
        <v>1404116557</v>
      </c>
      <c r="F5976">
        <v>-2927.26</v>
      </c>
    </row>
    <row r="5977" spans="1:6" hidden="1" x14ac:dyDescent="0.25">
      <c r="A5977" t="s">
        <v>670</v>
      </c>
      <c r="B5977" t="s">
        <v>357</v>
      </c>
      <c r="E5977" s="3">
        <f>HYPERLINK("https://sao.dolgi.msk.ru/account/1404118122/", 1404118122)</f>
        <v>1404118122</v>
      </c>
      <c r="F5977">
        <v>-2790.47</v>
      </c>
    </row>
    <row r="5978" spans="1:6" hidden="1" x14ac:dyDescent="0.25">
      <c r="A5978" t="s">
        <v>670</v>
      </c>
      <c r="B5978" t="s">
        <v>358</v>
      </c>
      <c r="E5978" s="3">
        <f>HYPERLINK("https://sao.dolgi.msk.ru/account/1404118069/", 1404118069)</f>
        <v>1404118069</v>
      </c>
      <c r="F5978">
        <v>-3768.84</v>
      </c>
    </row>
    <row r="5979" spans="1:6" hidden="1" x14ac:dyDescent="0.25">
      <c r="A5979" t="s">
        <v>670</v>
      </c>
      <c r="B5979" t="s">
        <v>359</v>
      </c>
      <c r="E5979" s="3">
        <f>HYPERLINK("https://sao.dolgi.msk.ru/account/1404117699/", 1404117699)</f>
        <v>1404117699</v>
      </c>
      <c r="F5979">
        <v>-2512.2800000000002</v>
      </c>
    </row>
    <row r="5980" spans="1:6" hidden="1" x14ac:dyDescent="0.25">
      <c r="A5980" t="s">
        <v>670</v>
      </c>
      <c r="B5980" t="s">
        <v>360</v>
      </c>
      <c r="E5980" s="3">
        <f>HYPERLINK("https://sao.dolgi.msk.ru/account/1404117795/", 1404117795)</f>
        <v>1404117795</v>
      </c>
      <c r="F5980">
        <v>-2185.65</v>
      </c>
    </row>
    <row r="5981" spans="1:6" x14ac:dyDescent="0.25">
      <c r="A5981" t="s">
        <v>670</v>
      </c>
      <c r="B5981" t="s">
        <v>361</v>
      </c>
      <c r="C5981" s="5" t="str">
        <f>" кв. "&amp;B5981</f>
        <v xml:space="preserve"> кв. 360</v>
      </c>
      <c r="D5981" s="5" t="str">
        <f>CONCATENATE(A5981,C5981)</f>
        <v>Ленинградское шоссе, дом 96 к.5 кв. 360</v>
      </c>
      <c r="E5981" s="3">
        <f>HYPERLINK("https://sao.dolgi.msk.ru/account/1404117525/", 1404117525)</f>
        <v>1404117525</v>
      </c>
      <c r="F5981">
        <v>29940.18</v>
      </c>
    </row>
    <row r="5982" spans="1:6" hidden="1" x14ac:dyDescent="0.25">
      <c r="A5982" t="s">
        <v>670</v>
      </c>
      <c r="B5982" t="s">
        <v>362</v>
      </c>
      <c r="E5982" s="3">
        <f>HYPERLINK("https://sao.dolgi.msk.ru/account/1404117808/", 1404117808)</f>
        <v>1404117808</v>
      </c>
      <c r="F5982">
        <v>0</v>
      </c>
    </row>
    <row r="5983" spans="1:6" hidden="1" x14ac:dyDescent="0.25">
      <c r="A5983" t="s">
        <v>670</v>
      </c>
      <c r="B5983" t="s">
        <v>363</v>
      </c>
      <c r="E5983" s="3">
        <f>HYPERLINK("https://sao.dolgi.msk.ru/account/1404117816/", 1404117816)</f>
        <v>1404117816</v>
      </c>
      <c r="F5983">
        <v>-11223.88</v>
      </c>
    </row>
    <row r="5984" spans="1:6" hidden="1" x14ac:dyDescent="0.25">
      <c r="A5984" t="s">
        <v>670</v>
      </c>
      <c r="B5984" t="s">
        <v>364</v>
      </c>
      <c r="E5984" s="3">
        <f>HYPERLINK("https://sao.dolgi.msk.ru/account/1404117445/", 1404117445)</f>
        <v>1404117445</v>
      </c>
      <c r="F5984">
        <v>0</v>
      </c>
    </row>
    <row r="5985" spans="1:6" hidden="1" x14ac:dyDescent="0.25">
      <c r="A5985" t="s">
        <v>670</v>
      </c>
      <c r="B5985" t="s">
        <v>365</v>
      </c>
      <c r="E5985" s="3">
        <f>HYPERLINK("https://sao.dolgi.msk.ru/account/1404117453/", 1404117453)</f>
        <v>1404117453</v>
      </c>
      <c r="F5985">
        <v>-1596.43</v>
      </c>
    </row>
    <row r="5986" spans="1:6" hidden="1" x14ac:dyDescent="0.25">
      <c r="A5986" t="s">
        <v>670</v>
      </c>
      <c r="B5986" t="s">
        <v>366</v>
      </c>
      <c r="E5986" s="3">
        <f>HYPERLINK("https://sao.dolgi.msk.ru/account/1404117533/", 1404117533)</f>
        <v>1404117533</v>
      </c>
      <c r="F5986">
        <v>-4415.2</v>
      </c>
    </row>
    <row r="5987" spans="1:6" hidden="1" x14ac:dyDescent="0.25">
      <c r="A5987" t="s">
        <v>670</v>
      </c>
      <c r="B5987" t="s">
        <v>367</v>
      </c>
      <c r="E5987" s="3">
        <f>HYPERLINK("https://sao.dolgi.msk.ru/account/1404117461/", 1404117461)</f>
        <v>1404117461</v>
      </c>
      <c r="F5987">
        <v>-2876.11</v>
      </c>
    </row>
    <row r="5988" spans="1:6" hidden="1" x14ac:dyDescent="0.25">
      <c r="A5988" t="s">
        <v>670</v>
      </c>
      <c r="B5988" t="s">
        <v>367</v>
      </c>
      <c r="E5988" s="3">
        <f>HYPERLINK("https://sao.dolgi.msk.ru/account/1404117787/", 1404117787)</f>
        <v>1404117787</v>
      </c>
      <c r="F5988">
        <v>-1429.56</v>
      </c>
    </row>
    <row r="5989" spans="1:6" hidden="1" x14ac:dyDescent="0.25">
      <c r="A5989" t="s">
        <v>670</v>
      </c>
      <c r="B5989" t="s">
        <v>368</v>
      </c>
      <c r="E5989" s="3">
        <f>HYPERLINK("https://sao.dolgi.msk.ru/account/1404117824/", 1404117824)</f>
        <v>1404117824</v>
      </c>
      <c r="F5989">
        <v>-3222.62</v>
      </c>
    </row>
    <row r="5990" spans="1:6" hidden="1" x14ac:dyDescent="0.25">
      <c r="A5990" t="s">
        <v>670</v>
      </c>
      <c r="B5990" t="s">
        <v>369</v>
      </c>
      <c r="E5990" s="3">
        <f>HYPERLINK("https://sao.dolgi.msk.ru/account/1404118229/", 1404118229)</f>
        <v>1404118229</v>
      </c>
      <c r="F5990">
        <v>-1155.45</v>
      </c>
    </row>
    <row r="5991" spans="1:6" hidden="1" x14ac:dyDescent="0.25">
      <c r="A5991" t="s">
        <v>670</v>
      </c>
      <c r="B5991" t="s">
        <v>370</v>
      </c>
      <c r="E5991" s="3">
        <f>HYPERLINK("https://sao.dolgi.msk.ru/account/1404117488/", 1404117488)</f>
        <v>1404117488</v>
      </c>
      <c r="F5991">
        <v>-1978.66</v>
      </c>
    </row>
    <row r="5992" spans="1:6" hidden="1" x14ac:dyDescent="0.25">
      <c r="A5992" t="s">
        <v>670</v>
      </c>
      <c r="B5992" t="s">
        <v>371</v>
      </c>
      <c r="E5992" s="3">
        <f>HYPERLINK("https://sao.dolgi.msk.ru/account/1404118077/", 1404118077)</f>
        <v>1404118077</v>
      </c>
      <c r="F5992">
        <v>-5907.77</v>
      </c>
    </row>
    <row r="5993" spans="1:6" hidden="1" x14ac:dyDescent="0.25">
      <c r="A5993" t="s">
        <v>670</v>
      </c>
      <c r="B5993" t="s">
        <v>372</v>
      </c>
      <c r="E5993" s="3">
        <f>HYPERLINK("https://sao.dolgi.msk.ru/account/1404117832/", 1404117832)</f>
        <v>1404117832</v>
      </c>
      <c r="F5993">
        <v>0</v>
      </c>
    </row>
    <row r="5994" spans="1:6" hidden="1" x14ac:dyDescent="0.25">
      <c r="A5994" t="s">
        <v>670</v>
      </c>
      <c r="B5994" t="s">
        <v>373</v>
      </c>
      <c r="E5994" s="3">
        <f>HYPERLINK("https://sao.dolgi.msk.ru/account/1404117859/", 1404117859)</f>
        <v>1404117859</v>
      </c>
      <c r="F5994">
        <v>-2219.37</v>
      </c>
    </row>
    <row r="5995" spans="1:6" hidden="1" x14ac:dyDescent="0.25">
      <c r="A5995" t="s">
        <v>670</v>
      </c>
      <c r="B5995" t="s">
        <v>374</v>
      </c>
      <c r="E5995" s="3">
        <f>HYPERLINK("https://sao.dolgi.msk.ru/account/1404118149/", 1404118149)</f>
        <v>1404118149</v>
      </c>
      <c r="F5995">
        <v>0</v>
      </c>
    </row>
    <row r="5996" spans="1:6" hidden="1" x14ac:dyDescent="0.25">
      <c r="A5996" t="s">
        <v>670</v>
      </c>
      <c r="B5996" t="s">
        <v>375</v>
      </c>
      <c r="E5996" s="3">
        <f>HYPERLINK("https://sao.dolgi.msk.ru/account/1404118237/", 1404118237)</f>
        <v>1404118237</v>
      </c>
      <c r="F5996">
        <v>-3170.86</v>
      </c>
    </row>
    <row r="5997" spans="1:6" hidden="1" x14ac:dyDescent="0.25">
      <c r="A5997" t="s">
        <v>670</v>
      </c>
      <c r="B5997" t="s">
        <v>376</v>
      </c>
      <c r="E5997" s="3">
        <f>HYPERLINK("https://sao.dolgi.msk.ru/account/1404117971/", 1404117971)</f>
        <v>1404117971</v>
      </c>
      <c r="F5997">
        <v>-4353.26</v>
      </c>
    </row>
    <row r="5998" spans="1:6" hidden="1" x14ac:dyDescent="0.25">
      <c r="A5998" t="s">
        <v>670</v>
      </c>
      <c r="B5998" t="s">
        <v>377</v>
      </c>
      <c r="E5998" s="3">
        <f>HYPERLINK("https://sao.dolgi.msk.ru/account/1404117541/", 1404117541)</f>
        <v>1404117541</v>
      </c>
      <c r="F5998">
        <v>-2404.81</v>
      </c>
    </row>
    <row r="5999" spans="1:6" hidden="1" x14ac:dyDescent="0.25">
      <c r="A5999" t="s">
        <v>670</v>
      </c>
      <c r="B5999" t="s">
        <v>378</v>
      </c>
      <c r="E5999" s="3">
        <f>HYPERLINK("https://sao.dolgi.msk.ru/account/1404117998/", 1404117998)</f>
        <v>1404117998</v>
      </c>
      <c r="F5999">
        <v>-3856.58</v>
      </c>
    </row>
    <row r="6000" spans="1:6" x14ac:dyDescent="0.25">
      <c r="A6000" t="s">
        <v>670</v>
      </c>
      <c r="B6000" t="s">
        <v>379</v>
      </c>
      <c r="C6000" s="5" t="str">
        <f t="shared" ref="C6000:C6002" si="262">" кв. "&amp;B6000</f>
        <v xml:space="preserve"> кв. 378</v>
      </c>
      <c r="D6000" s="5" t="str">
        <f>CONCATENATE(A6000,C6000)</f>
        <v>Ленинградское шоссе, дом 96 к.5 кв. 378</v>
      </c>
      <c r="E6000" s="3">
        <f>HYPERLINK("https://sao.dolgi.msk.ru/account/1404117568/", 1404117568)</f>
        <v>1404117568</v>
      </c>
      <c r="F6000">
        <v>51059.46</v>
      </c>
    </row>
    <row r="6001" spans="1:6" x14ac:dyDescent="0.25">
      <c r="A6001" t="s">
        <v>670</v>
      </c>
      <c r="B6001" t="s">
        <v>380</v>
      </c>
      <c r="C6001" s="5" t="str">
        <f t="shared" si="262"/>
        <v xml:space="preserve"> кв. 379</v>
      </c>
      <c r="D6001" s="5" t="str">
        <f>CONCATENATE(A6001,C6001)</f>
        <v>Ленинградское шоссе, дом 96 к.5 кв. 379</v>
      </c>
      <c r="E6001" s="3">
        <f>HYPERLINK("https://sao.dolgi.msk.ru/account/1404117576/", 1404117576)</f>
        <v>1404117576</v>
      </c>
      <c r="F6001">
        <v>1002.38</v>
      </c>
    </row>
    <row r="6002" spans="1:6" x14ac:dyDescent="0.25">
      <c r="A6002" t="s">
        <v>670</v>
      </c>
      <c r="B6002" t="s">
        <v>381</v>
      </c>
      <c r="C6002" s="5" t="str">
        <f t="shared" si="262"/>
        <v xml:space="preserve"> кв. 380</v>
      </c>
      <c r="D6002" s="5" t="str">
        <f>CONCATENATE(A6002,C6002)</f>
        <v>Ленинградское шоссе, дом 96 к.5 кв. 380</v>
      </c>
      <c r="E6002" s="3">
        <f>HYPERLINK("https://sao.dolgi.msk.ru/account/1404118157/", 1404118157)</f>
        <v>1404118157</v>
      </c>
      <c r="F6002">
        <v>1949.09</v>
      </c>
    </row>
    <row r="6003" spans="1:6" hidden="1" x14ac:dyDescent="0.25">
      <c r="A6003" t="s">
        <v>670</v>
      </c>
      <c r="B6003" t="s">
        <v>382</v>
      </c>
      <c r="E6003" s="3">
        <f>HYPERLINK("https://sao.dolgi.msk.ru/account/1404118245/", 1404118245)</f>
        <v>1404118245</v>
      </c>
      <c r="F6003">
        <v>-3695.5</v>
      </c>
    </row>
    <row r="6004" spans="1:6" hidden="1" x14ac:dyDescent="0.25">
      <c r="A6004" t="s">
        <v>670</v>
      </c>
      <c r="B6004" t="s">
        <v>383</v>
      </c>
      <c r="E6004" s="3">
        <f>HYPERLINK("https://sao.dolgi.msk.ru/account/1404117672/", 1404117672)</f>
        <v>1404117672</v>
      </c>
      <c r="F6004">
        <v>-2673.27</v>
      </c>
    </row>
    <row r="6005" spans="1:6" hidden="1" x14ac:dyDescent="0.25">
      <c r="A6005" t="s">
        <v>670</v>
      </c>
      <c r="B6005" t="s">
        <v>383</v>
      </c>
      <c r="E6005" s="3">
        <f>HYPERLINK("https://sao.dolgi.msk.ru/account/1404118253/", 1404118253)</f>
        <v>1404118253</v>
      </c>
      <c r="F6005">
        <v>-1088.99</v>
      </c>
    </row>
    <row r="6006" spans="1:6" hidden="1" x14ac:dyDescent="0.25">
      <c r="A6006" t="s">
        <v>670</v>
      </c>
      <c r="B6006" t="s">
        <v>384</v>
      </c>
      <c r="E6006" s="3">
        <f>HYPERLINK("https://sao.dolgi.msk.ru/account/1404117496/", 1404117496)</f>
        <v>1404117496</v>
      </c>
      <c r="F6006">
        <v>-5481.19</v>
      </c>
    </row>
    <row r="6007" spans="1:6" hidden="1" x14ac:dyDescent="0.25">
      <c r="A6007" t="s">
        <v>670</v>
      </c>
      <c r="B6007" t="s">
        <v>385</v>
      </c>
      <c r="E6007" s="3">
        <f>HYPERLINK("https://sao.dolgi.msk.ru/account/1404117584/", 1404117584)</f>
        <v>1404117584</v>
      </c>
      <c r="F6007">
        <v>-2575.5100000000002</v>
      </c>
    </row>
    <row r="6008" spans="1:6" hidden="1" x14ac:dyDescent="0.25">
      <c r="A6008" t="s">
        <v>670</v>
      </c>
      <c r="B6008" t="s">
        <v>386</v>
      </c>
      <c r="E6008" s="3">
        <f>HYPERLINK("https://sao.dolgi.msk.ru/account/1404118165/", 1404118165)</f>
        <v>1404118165</v>
      </c>
      <c r="F6008">
        <v>-6816.58</v>
      </c>
    </row>
    <row r="6009" spans="1:6" hidden="1" x14ac:dyDescent="0.25">
      <c r="A6009" t="s">
        <v>670</v>
      </c>
      <c r="B6009" t="s">
        <v>387</v>
      </c>
      <c r="E6009" s="3">
        <f>HYPERLINK("https://sao.dolgi.msk.ru/account/1404118018/", 1404118018)</f>
        <v>1404118018</v>
      </c>
      <c r="F6009">
        <v>-5346.77</v>
      </c>
    </row>
    <row r="6010" spans="1:6" hidden="1" x14ac:dyDescent="0.25">
      <c r="A6010" t="s">
        <v>670</v>
      </c>
      <c r="B6010" t="s">
        <v>388</v>
      </c>
      <c r="E6010" s="3">
        <f>HYPERLINK("https://sao.dolgi.msk.ru/account/1404117867/", 1404117867)</f>
        <v>1404117867</v>
      </c>
      <c r="F6010">
        <v>-6329.24</v>
      </c>
    </row>
    <row r="6011" spans="1:6" x14ac:dyDescent="0.25">
      <c r="A6011" t="s">
        <v>670</v>
      </c>
      <c r="B6011" t="s">
        <v>389</v>
      </c>
      <c r="C6011" s="5" t="str">
        <f>" кв. "&amp;B6011</f>
        <v xml:space="preserve"> кв. 388</v>
      </c>
      <c r="D6011" s="5" t="str">
        <f>CONCATENATE(A6011,C6011)</f>
        <v>Ленинградское шоссе, дом 96 к.5 кв. 388</v>
      </c>
      <c r="E6011" s="3">
        <f>HYPERLINK("https://sao.dolgi.msk.ru/account/1404117875/", 1404117875)</f>
        <v>1404117875</v>
      </c>
      <c r="F6011">
        <v>4125.7700000000004</v>
      </c>
    </row>
    <row r="6012" spans="1:6" hidden="1" x14ac:dyDescent="0.25">
      <c r="A6012" t="s">
        <v>670</v>
      </c>
      <c r="B6012" t="s">
        <v>390</v>
      </c>
      <c r="E6012" s="3">
        <f>HYPERLINK("https://sao.dolgi.msk.ru/account/1404118085/", 1404118085)</f>
        <v>1404118085</v>
      </c>
      <c r="F6012">
        <v>-8711.9500000000007</v>
      </c>
    </row>
    <row r="6013" spans="1:6" hidden="1" x14ac:dyDescent="0.25">
      <c r="A6013" t="s">
        <v>670</v>
      </c>
      <c r="B6013" t="s">
        <v>391</v>
      </c>
      <c r="E6013" s="3">
        <f>HYPERLINK("https://sao.dolgi.msk.ru/account/1404118093/", 1404118093)</f>
        <v>1404118093</v>
      </c>
      <c r="F6013">
        <v>-2451.14</v>
      </c>
    </row>
    <row r="6014" spans="1:6" hidden="1" x14ac:dyDescent="0.25">
      <c r="A6014" t="s">
        <v>670</v>
      </c>
      <c r="B6014" t="s">
        <v>392</v>
      </c>
      <c r="E6014" s="3">
        <f>HYPERLINK("https://sao.dolgi.msk.ru/account/1404118261/", 1404118261)</f>
        <v>1404118261</v>
      </c>
      <c r="F6014">
        <v>-15871.52</v>
      </c>
    </row>
    <row r="6015" spans="1:6" hidden="1" x14ac:dyDescent="0.25">
      <c r="A6015" t="s">
        <v>670</v>
      </c>
      <c r="B6015" t="s">
        <v>393</v>
      </c>
      <c r="E6015" s="3">
        <f>HYPERLINK("https://sao.dolgi.msk.ru/account/1404117701/", 1404117701)</f>
        <v>1404117701</v>
      </c>
      <c r="F6015">
        <v>-3251.64</v>
      </c>
    </row>
    <row r="6016" spans="1:6" hidden="1" x14ac:dyDescent="0.25">
      <c r="A6016" t="s">
        <v>670</v>
      </c>
      <c r="B6016" t="s">
        <v>394</v>
      </c>
      <c r="E6016" s="3">
        <f>HYPERLINK("https://sao.dolgi.msk.ru/account/1404118288/", 1404118288)</f>
        <v>1404118288</v>
      </c>
      <c r="F6016">
        <v>-6787.31</v>
      </c>
    </row>
    <row r="6017" spans="1:6" hidden="1" x14ac:dyDescent="0.25">
      <c r="A6017" t="s">
        <v>670</v>
      </c>
      <c r="B6017" t="s">
        <v>395</v>
      </c>
      <c r="E6017" s="3">
        <f>HYPERLINK("https://sao.dolgi.msk.ru/account/1404117728/", 1404117728)</f>
        <v>1404117728</v>
      </c>
      <c r="F6017">
        <v>0</v>
      </c>
    </row>
    <row r="6018" spans="1:6" hidden="1" x14ac:dyDescent="0.25">
      <c r="A6018" t="s">
        <v>670</v>
      </c>
      <c r="B6018" t="s">
        <v>396</v>
      </c>
      <c r="E6018" s="3">
        <f>HYPERLINK("https://sao.dolgi.msk.ru/account/1404117883/", 1404117883)</f>
        <v>1404117883</v>
      </c>
      <c r="F6018">
        <v>-3694.18</v>
      </c>
    </row>
    <row r="6019" spans="1:6" x14ac:dyDescent="0.25">
      <c r="A6019" t="s">
        <v>670</v>
      </c>
      <c r="B6019" t="s">
        <v>397</v>
      </c>
      <c r="C6019" s="5" t="str">
        <f>" кв. "&amp;B6019</f>
        <v xml:space="preserve"> кв. 396</v>
      </c>
      <c r="D6019" s="5" t="str">
        <f>CONCATENATE(A6019,C6019)</f>
        <v>Ленинградское шоссе, дом 96 к.5 кв. 396</v>
      </c>
      <c r="E6019" s="3">
        <f>HYPERLINK("https://sao.dolgi.msk.ru/account/1404117891/", 1404117891)</f>
        <v>1404117891</v>
      </c>
      <c r="F6019">
        <v>7953.26</v>
      </c>
    </row>
    <row r="6020" spans="1:6" hidden="1" x14ac:dyDescent="0.25">
      <c r="A6020" t="s">
        <v>670</v>
      </c>
      <c r="B6020" t="s">
        <v>398</v>
      </c>
      <c r="E6020" s="3">
        <f>HYPERLINK("https://sao.dolgi.msk.ru/account/1404118296/", 1404118296)</f>
        <v>1404118296</v>
      </c>
      <c r="F6020">
        <v>-4636.6400000000003</v>
      </c>
    </row>
    <row r="6021" spans="1:6" hidden="1" x14ac:dyDescent="0.25">
      <c r="A6021" t="s">
        <v>670</v>
      </c>
      <c r="B6021" t="s">
        <v>401</v>
      </c>
      <c r="E6021" s="3">
        <f>HYPERLINK("https://sao.dolgi.msk.ru/account/1404117904/", 1404117904)</f>
        <v>1404117904</v>
      </c>
      <c r="F6021">
        <v>-319.79000000000002</v>
      </c>
    </row>
    <row r="6022" spans="1:6" hidden="1" x14ac:dyDescent="0.25">
      <c r="A6022" t="s">
        <v>670</v>
      </c>
      <c r="B6022" t="s">
        <v>402</v>
      </c>
      <c r="E6022" s="3">
        <f>HYPERLINK("https://sao.dolgi.msk.ru/account/1404117736/", 1404117736)</f>
        <v>1404117736</v>
      </c>
      <c r="F6022">
        <v>-27.07</v>
      </c>
    </row>
    <row r="6023" spans="1:6" hidden="1" x14ac:dyDescent="0.25">
      <c r="A6023" t="s">
        <v>670</v>
      </c>
      <c r="B6023" t="s">
        <v>403</v>
      </c>
      <c r="E6023" s="3">
        <f>HYPERLINK("https://sao.dolgi.msk.ru/account/1404118173/", 1404118173)</f>
        <v>1404118173</v>
      </c>
      <c r="F6023">
        <v>-5937.09</v>
      </c>
    </row>
    <row r="6024" spans="1:6" hidden="1" x14ac:dyDescent="0.25">
      <c r="A6024" t="s">
        <v>670</v>
      </c>
      <c r="B6024" t="s">
        <v>404</v>
      </c>
      <c r="E6024" s="3">
        <f>HYPERLINK("https://sao.dolgi.msk.ru/account/1404118181/", 1404118181)</f>
        <v>1404118181</v>
      </c>
      <c r="F6024">
        <v>0</v>
      </c>
    </row>
    <row r="6025" spans="1:6" hidden="1" x14ac:dyDescent="0.25">
      <c r="A6025" t="s">
        <v>670</v>
      </c>
      <c r="B6025" t="s">
        <v>405</v>
      </c>
      <c r="E6025" s="3">
        <f>HYPERLINK("https://sao.dolgi.msk.ru/account/1404117912/", 1404117912)</f>
        <v>1404117912</v>
      </c>
      <c r="F6025">
        <v>-5382.98</v>
      </c>
    </row>
    <row r="6026" spans="1:6" hidden="1" x14ac:dyDescent="0.25">
      <c r="A6026" t="s">
        <v>670</v>
      </c>
      <c r="B6026" t="s">
        <v>406</v>
      </c>
      <c r="E6026" s="3">
        <f>HYPERLINK("https://sao.dolgi.msk.ru/account/1404118309/", 1404118309)</f>
        <v>1404118309</v>
      </c>
      <c r="F6026">
        <v>-5370.87</v>
      </c>
    </row>
    <row r="6027" spans="1:6" hidden="1" x14ac:dyDescent="0.25">
      <c r="A6027" t="s">
        <v>670</v>
      </c>
      <c r="B6027" t="s">
        <v>407</v>
      </c>
      <c r="E6027" s="3">
        <f>HYPERLINK("https://sao.dolgi.msk.ru/account/1404118317/", 1404118317)</f>
        <v>1404118317</v>
      </c>
      <c r="F6027">
        <v>-5196.09</v>
      </c>
    </row>
    <row r="6028" spans="1:6" hidden="1" x14ac:dyDescent="0.25">
      <c r="A6028" t="s">
        <v>670</v>
      </c>
      <c r="B6028" t="s">
        <v>408</v>
      </c>
      <c r="E6028" s="3">
        <f>HYPERLINK("https://sao.dolgi.msk.ru/account/1404117744/", 1404117744)</f>
        <v>1404117744</v>
      </c>
      <c r="F6028">
        <v>-1687.93</v>
      </c>
    </row>
    <row r="6029" spans="1:6" hidden="1" x14ac:dyDescent="0.25">
      <c r="A6029" t="s">
        <v>670</v>
      </c>
      <c r="B6029" t="s">
        <v>409</v>
      </c>
      <c r="E6029" s="3">
        <f>HYPERLINK("https://sao.dolgi.msk.ru/account/1404118026/", 1404118026)</f>
        <v>1404118026</v>
      </c>
      <c r="F6029">
        <v>-4747.76</v>
      </c>
    </row>
    <row r="6030" spans="1:6" hidden="1" x14ac:dyDescent="0.25">
      <c r="A6030" t="s">
        <v>670</v>
      </c>
      <c r="B6030" t="s">
        <v>410</v>
      </c>
      <c r="E6030" s="3">
        <f>HYPERLINK("https://sao.dolgi.msk.ru/account/1404117592/", 1404117592)</f>
        <v>1404117592</v>
      </c>
      <c r="F6030">
        <v>0</v>
      </c>
    </row>
    <row r="6031" spans="1:6" hidden="1" x14ac:dyDescent="0.25">
      <c r="A6031" t="s">
        <v>670</v>
      </c>
      <c r="B6031" t="s">
        <v>411</v>
      </c>
      <c r="E6031" s="3">
        <f>HYPERLINK("https://sao.dolgi.msk.ru/account/1404117939/", 1404117939)</f>
        <v>1404117939</v>
      </c>
      <c r="F6031">
        <v>0</v>
      </c>
    </row>
    <row r="6032" spans="1:6" hidden="1" x14ac:dyDescent="0.25">
      <c r="A6032" t="s">
        <v>670</v>
      </c>
      <c r="B6032" t="s">
        <v>429</v>
      </c>
      <c r="E6032" s="3">
        <f>HYPERLINK("https://sao.dolgi.msk.ru/account/1404118202/", 1404118202)</f>
        <v>1404118202</v>
      </c>
      <c r="F6032">
        <v>-3146.11</v>
      </c>
    </row>
    <row r="6033" spans="1:6" hidden="1" x14ac:dyDescent="0.25">
      <c r="A6033" t="s">
        <v>670</v>
      </c>
      <c r="B6033" t="s">
        <v>430</v>
      </c>
      <c r="E6033" s="3">
        <f>HYPERLINK("https://sao.dolgi.msk.ru/account/1404117605/", 1404117605)</f>
        <v>1404117605</v>
      </c>
      <c r="F6033">
        <v>-4548.2299999999996</v>
      </c>
    </row>
    <row r="6034" spans="1:6" hidden="1" x14ac:dyDescent="0.25">
      <c r="A6034" t="s">
        <v>670</v>
      </c>
      <c r="B6034" t="s">
        <v>431</v>
      </c>
      <c r="E6034" s="3">
        <f>HYPERLINK("https://sao.dolgi.msk.ru/account/1404117613/", 1404117613)</f>
        <v>1404117613</v>
      </c>
      <c r="F6034">
        <v>-4392.8100000000004</v>
      </c>
    </row>
    <row r="6035" spans="1:6" hidden="1" x14ac:dyDescent="0.25">
      <c r="A6035" t="s">
        <v>670</v>
      </c>
      <c r="B6035" t="s">
        <v>432</v>
      </c>
      <c r="E6035" s="3">
        <f>HYPERLINK("https://sao.dolgi.msk.ru/account/1404118034/", 1404118034)</f>
        <v>1404118034</v>
      </c>
      <c r="F6035">
        <v>-13578.17</v>
      </c>
    </row>
    <row r="6036" spans="1:6" hidden="1" x14ac:dyDescent="0.25">
      <c r="A6036" t="s">
        <v>670</v>
      </c>
      <c r="B6036" t="s">
        <v>433</v>
      </c>
      <c r="E6036" s="3">
        <f>HYPERLINK("https://sao.dolgi.msk.ru/account/1404118325/", 1404118325)</f>
        <v>1404118325</v>
      </c>
      <c r="F6036">
        <v>-5409.13</v>
      </c>
    </row>
    <row r="6037" spans="1:6" hidden="1" x14ac:dyDescent="0.25">
      <c r="A6037" t="s">
        <v>670</v>
      </c>
      <c r="B6037" t="s">
        <v>438</v>
      </c>
      <c r="E6037" s="3">
        <f>HYPERLINK("https://sao.dolgi.msk.ru/account/1404118333/", 1404118333)</f>
        <v>1404118333</v>
      </c>
      <c r="F6037">
        <v>0</v>
      </c>
    </row>
    <row r="6038" spans="1:6" hidden="1" x14ac:dyDescent="0.25">
      <c r="A6038" t="s">
        <v>670</v>
      </c>
      <c r="B6038" t="s">
        <v>439</v>
      </c>
      <c r="E6038" s="3">
        <f>HYPERLINK("https://sao.dolgi.msk.ru/account/1404117947/", 1404117947)</f>
        <v>1404117947</v>
      </c>
      <c r="F6038">
        <v>-95.24</v>
      </c>
    </row>
    <row r="6039" spans="1:6" hidden="1" x14ac:dyDescent="0.25">
      <c r="A6039" t="s">
        <v>670</v>
      </c>
      <c r="B6039" t="s">
        <v>440</v>
      </c>
      <c r="E6039" s="3">
        <f>HYPERLINK("https://sao.dolgi.msk.ru/account/1404154684/", 1404154684)</f>
        <v>1404154684</v>
      </c>
      <c r="F6039">
        <v>-2887.11</v>
      </c>
    </row>
    <row r="6040" spans="1:6" x14ac:dyDescent="0.25">
      <c r="A6040" t="s">
        <v>670</v>
      </c>
      <c r="B6040" t="s">
        <v>441</v>
      </c>
      <c r="C6040" s="5" t="str">
        <f>" кв. "&amp;B6040</f>
        <v xml:space="preserve"> кв. 423</v>
      </c>
      <c r="D6040" s="5" t="str">
        <f>CONCATENATE(A6040,C6040)</f>
        <v>Ленинградское шоссе, дом 96 к.5 кв. 423</v>
      </c>
      <c r="E6040" s="3">
        <f>HYPERLINK("https://sao.dolgi.msk.ru/account/1404117955/", 1404117955)</f>
        <v>1404117955</v>
      </c>
      <c r="F6040">
        <v>43650.26</v>
      </c>
    </row>
    <row r="6041" spans="1:6" hidden="1" x14ac:dyDescent="0.25">
      <c r="A6041" t="s">
        <v>670</v>
      </c>
      <c r="B6041" t="s">
        <v>442</v>
      </c>
      <c r="E6041" s="3">
        <f>HYPERLINK("https://sao.dolgi.msk.ru/account/1404117509/", 1404117509)</f>
        <v>1404117509</v>
      </c>
      <c r="F6041">
        <v>0</v>
      </c>
    </row>
    <row r="6042" spans="1:6" x14ac:dyDescent="0.25">
      <c r="A6042" t="s">
        <v>670</v>
      </c>
      <c r="B6042" t="s">
        <v>443</v>
      </c>
      <c r="C6042" s="5" t="str">
        <f>" кв. "&amp;B6042</f>
        <v xml:space="preserve"> кв. 425</v>
      </c>
      <c r="D6042" s="5" t="str">
        <f>CONCATENATE(A6042,C6042)</f>
        <v>Ленинградское шоссе, дом 96 к.5 кв. 425</v>
      </c>
      <c r="E6042" s="3">
        <f>HYPERLINK("https://sao.dolgi.msk.ru/account/1404117963/", 1404117963)</f>
        <v>1404117963</v>
      </c>
      <c r="F6042">
        <v>124264.74</v>
      </c>
    </row>
    <row r="6043" spans="1:6" hidden="1" x14ac:dyDescent="0.25">
      <c r="A6043" t="s">
        <v>670</v>
      </c>
      <c r="B6043" t="s">
        <v>444</v>
      </c>
      <c r="E6043" s="3">
        <f>HYPERLINK("https://sao.dolgi.msk.ru/account/1404117517/", 1404117517)</f>
        <v>1404117517</v>
      </c>
      <c r="F6043">
        <v>-2621.31</v>
      </c>
    </row>
    <row r="6044" spans="1:6" hidden="1" x14ac:dyDescent="0.25">
      <c r="A6044" t="s">
        <v>670</v>
      </c>
      <c r="B6044" t="s">
        <v>445</v>
      </c>
      <c r="E6044" s="3">
        <f>HYPERLINK("https://sao.dolgi.msk.ru/account/1404117752/", 1404117752)</f>
        <v>1404117752</v>
      </c>
      <c r="F6044">
        <v>-1582.23</v>
      </c>
    </row>
    <row r="6045" spans="1:6" hidden="1" x14ac:dyDescent="0.25">
      <c r="A6045" t="s">
        <v>670</v>
      </c>
      <c r="B6045" t="s">
        <v>446</v>
      </c>
      <c r="E6045" s="3">
        <f>HYPERLINK("https://sao.dolgi.msk.ru/account/1404118042/", 1404118042)</f>
        <v>1404118042</v>
      </c>
      <c r="F6045">
        <v>-4163.53</v>
      </c>
    </row>
    <row r="6046" spans="1:6" hidden="1" x14ac:dyDescent="0.25">
      <c r="A6046" t="s">
        <v>670</v>
      </c>
      <c r="B6046" t="s">
        <v>447</v>
      </c>
      <c r="E6046" s="3">
        <f>HYPERLINK("https://sao.dolgi.msk.ru/account/1404117648/", 1404117648)</f>
        <v>1404117648</v>
      </c>
      <c r="F6046">
        <v>-4714.37</v>
      </c>
    </row>
    <row r="6047" spans="1:6" hidden="1" x14ac:dyDescent="0.25">
      <c r="A6047" t="s">
        <v>670</v>
      </c>
      <c r="B6047" t="s">
        <v>448</v>
      </c>
      <c r="E6047" s="3">
        <f>HYPERLINK("https://sao.dolgi.msk.ru/account/1404117656/", 1404117656)</f>
        <v>1404117656</v>
      </c>
      <c r="F6047">
        <v>-2798.9</v>
      </c>
    </row>
    <row r="6048" spans="1:6" hidden="1" x14ac:dyDescent="0.25">
      <c r="A6048" t="s">
        <v>670</v>
      </c>
      <c r="B6048" t="s">
        <v>449</v>
      </c>
      <c r="E6048" s="3">
        <f>HYPERLINK("https://sao.dolgi.msk.ru/account/1404118106/", 1404118106)</f>
        <v>1404118106</v>
      </c>
      <c r="F6048">
        <v>-655.32000000000005</v>
      </c>
    </row>
    <row r="6049" spans="1:6" hidden="1" x14ac:dyDescent="0.25">
      <c r="A6049" t="s">
        <v>670</v>
      </c>
      <c r="B6049" t="s">
        <v>450</v>
      </c>
      <c r="E6049" s="3">
        <f>HYPERLINK("https://sao.dolgi.msk.ru/account/1404117779/", 1404117779)</f>
        <v>1404117779</v>
      </c>
      <c r="F6049">
        <v>-5107.16</v>
      </c>
    </row>
    <row r="6050" spans="1:6" hidden="1" x14ac:dyDescent="0.25">
      <c r="A6050" t="s">
        <v>670</v>
      </c>
      <c r="B6050" t="s">
        <v>451</v>
      </c>
      <c r="E6050" s="3">
        <f>HYPERLINK("https://sao.dolgi.msk.ru/account/1404118341/", 1404118341)</f>
        <v>1404118341</v>
      </c>
      <c r="F6050">
        <v>-3818.69</v>
      </c>
    </row>
    <row r="6051" spans="1:6" hidden="1" x14ac:dyDescent="0.25">
      <c r="A6051" t="s">
        <v>670</v>
      </c>
      <c r="B6051" t="s">
        <v>452</v>
      </c>
      <c r="E6051" s="3">
        <f>HYPERLINK("https://sao.dolgi.msk.ru/account/1404118114/", 1404118114)</f>
        <v>1404118114</v>
      </c>
      <c r="F6051">
        <v>-4316.99</v>
      </c>
    </row>
    <row r="6052" spans="1:6" hidden="1" x14ac:dyDescent="0.25">
      <c r="A6052" t="s">
        <v>670</v>
      </c>
      <c r="B6052" t="s">
        <v>453</v>
      </c>
      <c r="E6052" s="3">
        <f>HYPERLINK("https://sao.dolgi.msk.ru/account/1404117664/", 1404117664)</f>
        <v>1404117664</v>
      </c>
      <c r="F6052">
        <v>-1920.03</v>
      </c>
    </row>
    <row r="6053" spans="1:6" hidden="1" x14ac:dyDescent="0.25">
      <c r="A6053" t="s">
        <v>671</v>
      </c>
      <c r="B6053" t="s">
        <v>5</v>
      </c>
      <c r="E6053" s="3">
        <f>HYPERLINK("https://sao.dolgi.msk.ru/account/1404119248/", 1404119248)</f>
        <v>1404119248</v>
      </c>
      <c r="F6053">
        <v>-4585.21</v>
      </c>
    </row>
    <row r="6054" spans="1:6" hidden="1" x14ac:dyDescent="0.25">
      <c r="A6054" t="s">
        <v>671</v>
      </c>
      <c r="B6054" t="s">
        <v>6</v>
      </c>
      <c r="E6054" s="3">
        <f>HYPERLINK("https://sao.dolgi.msk.ru/account/1404118501/", 1404118501)</f>
        <v>1404118501</v>
      </c>
      <c r="F6054">
        <v>-3972.07</v>
      </c>
    </row>
    <row r="6055" spans="1:6" hidden="1" x14ac:dyDescent="0.25">
      <c r="A6055" t="s">
        <v>671</v>
      </c>
      <c r="B6055" t="s">
        <v>7</v>
      </c>
      <c r="E6055" s="3">
        <f>HYPERLINK("https://sao.dolgi.msk.ru/account/1404118798/", 1404118798)</f>
        <v>1404118798</v>
      </c>
      <c r="F6055">
        <v>-6427.69</v>
      </c>
    </row>
    <row r="6056" spans="1:6" hidden="1" x14ac:dyDescent="0.25">
      <c r="A6056" t="s">
        <v>671</v>
      </c>
      <c r="B6056" t="s">
        <v>8</v>
      </c>
      <c r="E6056" s="3">
        <f>HYPERLINK("https://sao.dolgi.msk.ru/account/1404118851/", 1404118851)</f>
        <v>1404118851</v>
      </c>
      <c r="F6056">
        <v>-2906.76</v>
      </c>
    </row>
    <row r="6057" spans="1:6" hidden="1" x14ac:dyDescent="0.25">
      <c r="A6057" t="s">
        <v>671</v>
      </c>
      <c r="B6057" t="s">
        <v>9</v>
      </c>
      <c r="E6057" s="3">
        <f>HYPERLINK("https://sao.dolgi.msk.ru/account/1404119301/", 1404119301)</f>
        <v>1404119301</v>
      </c>
      <c r="F6057">
        <v>-5126.1000000000004</v>
      </c>
    </row>
    <row r="6058" spans="1:6" hidden="1" x14ac:dyDescent="0.25">
      <c r="A6058" t="s">
        <v>671</v>
      </c>
      <c r="B6058" t="s">
        <v>10</v>
      </c>
      <c r="E6058" s="3">
        <f>HYPERLINK("https://sao.dolgi.msk.ru/account/1404118683/", 1404118683)</f>
        <v>1404118683</v>
      </c>
      <c r="F6058">
        <v>-3387.95</v>
      </c>
    </row>
    <row r="6059" spans="1:6" hidden="1" x14ac:dyDescent="0.25">
      <c r="A6059" t="s">
        <v>671</v>
      </c>
      <c r="B6059" t="s">
        <v>11</v>
      </c>
      <c r="E6059" s="3">
        <f>HYPERLINK("https://sao.dolgi.msk.ru/account/1404119096/", 1404119096)</f>
        <v>1404119096</v>
      </c>
      <c r="F6059">
        <v>-4968.93</v>
      </c>
    </row>
    <row r="6060" spans="1:6" hidden="1" x14ac:dyDescent="0.25">
      <c r="A6060" t="s">
        <v>671</v>
      </c>
      <c r="B6060" t="s">
        <v>12</v>
      </c>
      <c r="E6060" s="3">
        <f>HYPERLINK("https://sao.dolgi.msk.ru/account/1404119213/", 1404119213)</f>
        <v>1404119213</v>
      </c>
      <c r="F6060">
        <v>-3808.85</v>
      </c>
    </row>
    <row r="6061" spans="1:6" hidden="1" x14ac:dyDescent="0.25">
      <c r="A6061" t="s">
        <v>671</v>
      </c>
      <c r="B6061" t="s">
        <v>13</v>
      </c>
      <c r="E6061" s="3">
        <f>HYPERLINK("https://sao.dolgi.msk.ru/account/1404118974/", 1404118974)</f>
        <v>1404118974</v>
      </c>
      <c r="F6061">
        <v>-2151.7600000000002</v>
      </c>
    </row>
    <row r="6062" spans="1:6" hidden="1" x14ac:dyDescent="0.25">
      <c r="A6062" t="s">
        <v>671</v>
      </c>
      <c r="B6062" t="s">
        <v>14</v>
      </c>
      <c r="E6062" s="3">
        <f>HYPERLINK("https://sao.dolgi.msk.ru/account/1404119117/", 1404119117)</f>
        <v>1404119117</v>
      </c>
      <c r="F6062">
        <v>-3974.47</v>
      </c>
    </row>
    <row r="6063" spans="1:6" hidden="1" x14ac:dyDescent="0.25">
      <c r="A6063" t="s">
        <v>671</v>
      </c>
      <c r="B6063" t="s">
        <v>15</v>
      </c>
      <c r="E6063" s="3">
        <f>HYPERLINK("https://sao.dolgi.msk.ru/account/1404118843/", 1404118843)</f>
        <v>1404118843</v>
      </c>
      <c r="F6063">
        <v>0</v>
      </c>
    </row>
    <row r="6064" spans="1:6" x14ac:dyDescent="0.25">
      <c r="A6064" t="s">
        <v>671</v>
      </c>
      <c r="B6064" t="s">
        <v>16</v>
      </c>
      <c r="C6064" s="5" t="str">
        <f>" кв. "&amp;B6064</f>
        <v xml:space="preserve"> кв. 12</v>
      </c>
      <c r="D6064" s="5" t="str">
        <f>CONCATENATE(A6064,C6064)</f>
        <v>Ленинградское шоссе, дом 98 к.1 кв. 12</v>
      </c>
      <c r="E6064" s="3">
        <f>HYPERLINK("https://sao.dolgi.msk.ru/account/1404118376/", 1404118376)</f>
        <v>1404118376</v>
      </c>
      <c r="F6064">
        <v>16398.2</v>
      </c>
    </row>
    <row r="6065" spans="1:6" hidden="1" x14ac:dyDescent="0.25">
      <c r="A6065" t="s">
        <v>671</v>
      </c>
      <c r="B6065" t="s">
        <v>17</v>
      </c>
      <c r="E6065" s="3">
        <f>HYPERLINK("https://sao.dolgi.msk.ru/account/1404118472/", 1404118472)</f>
        <v>1404118472</v>
      </c>
      <c r="F6065">
        <v>-2797.61</v>
      </c>
    </row>
    <row r="6066" spans="1:6" hidden="1" x14ac:dyDescent="0.25">
      <c r="A6066" t="s">
        <v>671</v>
      </c>
      <c r="B6066" t="s">
        <v>18</v>
      </c>
      <c r="E6066" s="3">
        <f>HYPERLINK("https://sao.dolgi.msk.ru/account/1404118384/", 1404118384)</f>
        <v>1404118384</v>
      </c>
      <c r="F6066">
        <v>-1692.24</v>
      </c>
    </row>
    <row r="6067" spans="1:6" hidden="1" x14ac:dyDescent="0.25">
      <c r="A6067" t="s">
        <v>671</v>
      </c>
      <c r="B6067" t="s">
        <v>19</v>
      </c>
      <c r="E6067" s="3">
        <f>HYPERLINK("https://sao.dolgi.msk.ru/account/1404118499/", 1404118499)</f>
        <v>1404118499</v>
      </c>
      <c r="F6067">
        <v>-1123.6099999999999</v>
      </c>
    </row>
    <row r="6068" spans="1:6" hidden="1" x14ac:dyDescent="0.25">
      <c r="A6068" t="s">
        <v>671</v>
      </c>
      <c r="B6068" t="s">
        <v>20</v>
      </c>
      <c r="E6068" s="3">
        <f>HYPERLINK("https://sao.dolgi.msk.ru/account/1404118595/", 1404118595)</f>
        <v>1404118595</v>
      </c>
      <c r="F6068">
        <v>-1979.92</v>
      </c>
    </row>
    <row r="6069" spans="1:6" hidden="1" x14ac:dyDescent="0.25">
      <c r="A6069" t="s">
        <v>671</v>
      </c>
      <c r="B6069" t="s">
        <v>21</v>
      </c>
      <c r="E6069" s="3">
        <f>HYPERLINK("https://sao.dolgi.msk.ru/account/1404118763/", 1404118763)</f>
        <v>1404118763</v>
      </c>
      <c r="F6069">
        <v>-2825.05</v>
      </c>
    </row>
    <row r="6070" spans="1:6" x14ac:dyDescent="0.25">
      <c r="A6070" t="s">
        <v>671</v>
      </c>
      <c r="B6070" t="s">
        <v>22</v>
      </c>
      <c r="C6070" s="5" t="str">
        <f>" кв. "&amp;B6070</f>
        <v xml:space="preserve"> кв. 18</v>
      </c>
      <c r="D6070" s="5" t="str">
        <f>CONCATENATE(A6070,C6070)</f>
        <v>Ленинградское шоссе, дом 98 к.1 кв. 18</v>
      </c>
      <c r="E6070" s="3">
        <f>HYPERLINK("https://sao.dolgi.msk.ru/account/1404118608/", 1404118608)</f>
        <v>1404118608</v>
      </c>
      <c r="F6070">
        <v>3673.51</v>
      </c>
    </row>
    <row r="6071" spans="1:6" hidden="1" x14ac:dyDescent="0.25">
      <c r="A6071" t="s">
        <v>671</v>
      </c>
      <c r="B6071" t="s">
        <v>23</v>
      </c>
      <c r="E6071" s="3">
        <f>HYPERLINK("https://sao.dolgi.msk.ru/account/1404118392/", 1404118392)</f>
        <v>1404118392</v>
      </c>
      <c r="F6071">
        <v>-4500.7299999999996</v>
      </c>
    </row>
    <row r="6072" spans="1:6" hidden="1" x14ac:dyDescent="0.25">
      <c r="A6072" t="s">
        <v>671</v>
      </c>
      <c r="B6072" t="s">
        <v>24</v>
      </c>
      <c r="E6072" s="3">
        <f>HYPERLINK("https://sao.dolgi.msk.ru/account/1404118616/", 1404118616)</f>
        <v>1404118616</v>
      </c>
      <c r="F6072">
        <v>-2484.58</v>
      </c>
    </row>
    <row r="6073" spans="1:6" hidden="1" x14ac:dyDescent="0.25">
      <c r="A6073" t="s">
        <v>671</v>
      </c>
      <c r="B6073" t="s">
        <v>25</v>
      </c>
      <c r="E6073" s="3">
        <f>HYPERLINK("https://sao.dolgi.msk.ru/account/1404119256/", 1404119256)</f>
        <v>1404119256</v>
      </c>
      <c r="F6073">
        <v>-0.02</v>
      </c>
    </row>
    <row r="6074" spans="1:6" hidden="1" x14ac:dyDescent="0.25">
      <c r="A6074" t="s">
        <v>671</v>
      </c>
      <c r="B6074" t="s">
        <v>26</v>
      </c>
      <c r="E6074" s="3">
        <f>HYPERLINK("https://sao.dolgi.msk.ru/account/1404119125/", 1404119125)</f>
        <v>1404119125</v>
      </c>
      <c r="F6074">
        <v>-6541.83</v>
      </c>
    </row>
    <row r="6075" spans="1:6" hidden="1" x14ac:dyDescent="0.25">
      <c r="A6075" t="s">
        <v>671</v>
      </c>
      <c r="B6075" t="s">
        <v>27</v>
      </c>
      <c r="E6075" s="3">
        <f>HYPERLINK("https://sao.dolgi.msk.ru/account/1404118405/", 1404118405)</f>
        <v>1404118405</v>
      </c>
      <c r="F6075">
        <v>-4947.91</v>
      </c>
    </row>
    <row r="6076" spans="1:6" hidden="1" x14ac:dyDescent="0.25">
      <c r="A6076" t="s">
        <v>671</v>
      </c>
      <c r="B6076" t="s">
        <v>28</v>
      </c>
      <c r="E6076" s="3">
        <f>HYPERLINK("https://sao.dolgi.msk.ru/account/1404118771/", 1404118771)</f>
        <v>1404118771</v>
      </c>
      <c r="F6076">
        <v>-3401.97</v>
      </c>
    </row>
    <row r="6077" spans="1:6" hidden="1" x14ac:dyDescent="0.25">
      <c r="A6077" t="s">
        <v>671</v>
      </c>
      <c r="B6077" t="s">
        <v>29</v>
      </c>
      <c r="E6077" s="3">
        <f>HYPERLINK("https://sao.dolgi.msk.ru/account/1404119133/", 1404119133)</f>
        <v>1404119133</v>
      </c>
      <c r="F6077">
        <v>-2717.48</v>
      </c>
    </row>
    <row r="6078" spans="1:6" hidden="1" x14ac:dyDescent="0.25">
      <c r="A6078" t="s">
        <v>671</v>
      </c>
      <c r="B6078" t="s">
        <v>30</v>
      </c>
      <c r="E6078" s="3">
        <f>HYPERLINK("https://sao.dolgi.msk.ru/account/1404119264/", 1404119264)</f>
        <v>1404119264</v>
      </c>
      <c r="F6078">
        <v>-6364.65</v>
      </c>
    </row>
    <row r="6079" spans="1:6" hidden="1" x14ac:dyDescent="0.25">
      <c r="A6079" t="s">
        <v>671</v>
      </c>
      <c r="B6079" t="s">
        <v>31</v>
      </c>
      <c r="E6079" s="3">
        <f>HYPERLINK("https://sao.dolgi.msk.ru/account/1404118624/", 1404118624)</f>
        <v>1404118624</v>
      </c>
      <c r="F6079">
        <v>-2926.06</v>
      </c>
    </row>
    <row r="6080" spans="1:6" hidden="1" x14ac:dyDescent="0.25">
      <c r="A6080" t="s">
        <v>671</v>
      </c>
      <c r="B6080" t="s">
        <v>32</v>
      </c>
      <c r="E6080" s="3">
        <f>HYPERLINK("https://sao.dolgi.msk.ru/account/1404118632/", 1404118632)</f>
        <v>1404118632</v>
      </c>
      <c r="F6080">
        <v>-4626.5</v>
      </c>
    </row>
    <row r="6081" spans="1:6" hidden="1" x14ac:dyDescent="0.25">
      <c r="A6081" t="s">
        <v>671</v>
      </c>
      <c r="B6081" t="s">
        <v>33</v>
      </c>
      <c r="E6081" s="3">
        <f>HYPERLINK("https://sao.dolgi.msk.ru/account/1404118982/", 1404118982)</f>
        <v>1404118982</v>
      </c>
      <c r="F6081">
        <v>-1457.94</v>
      </c>
    </row>
    <row r="6082" spans="1:6" hidden="1" x14ac:dyDescent="0.25">
      <c r="A6082" t="s">
        <v>671</v>
      </c>
      <c r="B6082" t="s">
        <v>34</v>
      </c>
      <c r="E6082" s="3">
        <f>HYPERLINK("https://sao.dolgi.msk.ru/account/1404119002/", 1404119002)</f>
        <v>1404119002</v>
      </c>
      <c r="F6082">
        <v>-7178.71</v>
      </c>
    </row>
    <row r="6083" spans="1:6" hidden="1" x14ac:dyDescent="0.25">
      <c r="A6083" t="s">
        <v>671</v>
      </c>
      <c r="B6083" t="s">
        <v>35</v>
      </c>
      <c r="E6083" s="3">
        <f>HYPERLINK("https://sao.dolgi.msk.ru/account/1404119029/", 1404119029)</f>
        <v>1404119029</v>
      </c>
      <c r="F6083">
        <v>-2710.45</v>
      </c>
    </row>
    <row r="6084" spans="1:6" hidden="1" x14ac:dyDescent="0.25">
      <c r="A6084" t="s">
        <v>671</v>
      </c>
      <c r="B6084" t="s">
        <v>36</v>
      </c>
      <c r="E6084" s="3">
        <f>HYPERLINK("https://sao.dolgi.msk.ru/account/1404119037/", 1404119037)</f>
        <v>1404119037</v>
      </c>
      <c r="F6084">
        <v>-3473.98</v>
      </c>
    </row>
    <row r="6085" spans="1:6" hidden="1" x14ac:dyDescent="0.25">
      <c r="A6085" t="s">
        <v>671</v>
      </c>
      <c r="B6085" t="s">
        <v>37</v>
      </c>
      <c r="E6085" s="3">
        <f>HYPERLINK("https://sao.dolgi.msk.ru/account/1404118413/", 1404118413)</f>
        <v>1404118413</v>
      </c>
      <c r="F6085">
        <v>-629.79999999999995</v>
      </c>
    </row>
    <row r="6086" spans="1:6" hidden="1" x14ac:dyDescent="0.25">
      <c r="A6086" t="s">
        <v>671</v>
      </c>
      <c r="B6086" t="s">
        <v>38</v>
      </c>
      <c r="E6086" s="3">
        <f>HYPERLINK("https://sao.dolgi.msk.ru/account/1404119272/", 1404119272)</f>
        <v>1404119272</v>
      </c>
      <c r="F6086">
        <v>-97.63</v>
      </c>
    </row>
    <row r="6087" spans="1:6" hidden="1" x14ac:dyDescent="0.25">
      <c r="A6087" t="s">
        <v>671</v>
      </c>
      <c r="B6087" t="s">
        <v>39</v>
      </c>
      <c r="E6087" s="3">
        <f>HYPERLINK("https://sao.dolgi.msk.ru/account/1404118819/", 1404118819)</f>
        <v>1404118819</v>
      </c>
      <c r="F6087">
        <v>-4295.97</v>
      </c>
    </row>
    <row r="6088" spans="1:6" hidden="1" x14ac:dyDescent="0.25">
      <c r="A6088" t="s">
        <v>671</v>
      </c>
      <c r="B6088" t="s">
        <v>40</v>
      </c>
      <c r="E6088" s="3">
        <f>HYPERLINK("https://sao.dolgi.msk.ru/account/1404118659/", 1404118659)</f>
        <v>1404118659</v>
      </c>
      <c r="F6088">
        <v>-5859.32</v>
      </c>
    </row>
    <row r="6089" spans="1:6" hidden="1" x14ac:dyDescent="0.25">
      <c r="A6089" t="s">
        <v>671</v>
      </c>
      <c r="B6089" t="s">
        <v>41</v>
      </c>
      <c r="E6089" s="3">
        <f>HYPERLINK("https://sao.dolgi.msk.ru/account/1404119141/", 1404119141)</f>
        <v>1404119141</v>
      </c>
      <c r="F6089">
        <v>-9186.52</v>
      </c>
    </row>
    <row r="6090" spans="1:6" hidden="1" x14ac:dyDescent="0.25">
      <c r="A6090" t="s">
        <v>671</v>
      </c>
      <c r="B6090" t="s">
        <v>42</v>
      </c>
      <c r="E6090" s="3">
        <f>HYPERLINK("https://sao.dolgi.msk.ru/account/1404118421/", 1404118421)</f>
        <v>1404118421</v>
      </c>
      <c r="F6090">
        <v>-3835.93</v>
      </c>
    </row>
    <row r="6091" spans="1:6" hidden="1" x14ac:dyDescent="0.25">
      <c r="A6091" t="s">
        <v>671</v>
      </c>
      <c r="B6091" t="s">
        <v>43</v>
      </c>
      <c r="E6091" s="3">
        <f>HYPERLINK("https://sao.dolgi.msk.ru/account/1404119168/", 1404119168)</f>
        <v>1404119168</v>
      </c>
      <c r="F6091">
        <v>-5185.8599999999997</v>
      </c>
    </row>
    <row r="6092" spans="1:6" x14ac:dyDescent="0.25">
      <c r="A6092" t="s">
        <v>671</v>
      </c>
      <c r="B6092" t="s">
        <v>44</v>
      </c>
      <c r="C6092" s="5" t="str">
        <f>" кв. "&amp;B6092</f>
        <v xml:space="preserve"> кв. 40</v>
      </c>
      <c r="D6092" s="5" t="str">
        <f>CONCATENATE(A6092,C6092)</f>
        <v>Ленинградское шоссе, дом 98 к.1 кв. 40</v>
      </c>
      <c r="E6092" s="3">
        <f>HYPERLINK("https://sao.dolgi.msk.ru/account/1404118667/", 1404118667)</f>
        <v>1404118667</v>
      </c>
      <c r="F6092">
        <v>4014.91</v>
      </c>
    </row>
    <row r="6093" spans="1:6" hidden="1" x14ac:dyDescent="0.25">
      <c r="A6093" t="s">
        <v>671</v>
      </c>
      <c r="B6093" t="s">
        <v>45</v>
      </c>
      <c r="E6093" s="3">
        <f>HYPERLINK("https://sao.dolgi.msk.ru/account/1404119299/", 1404119299)</f>
        <v>1404119299</v>
      </c>
      <c r="F6093">
        <v>-4309.42</v>
      </c>
    </row>
    <row r="6094" spans="1:6" hidden="1" x14ac:dyDescent="0.25">
      <c r="A6094" t="s">
        <v>671</v>
      </c>
      <c r="B6094" t="s">
        <v>46</v>
      </c>
      <c r="E6094" s="3">
        <f>HYPERLINK("https://sao.dolgi.msk.ru/account/1404118448/", 1404118448)</f>
        <v>1404118448</v>
      </c>
      <c r="F6094">
        <v>-3749.96</v>
      </c>
    </row>
    <row r="6095" spans="1:6" hidden="1" x14ac:dyDescent="0.25">
      <c r="A6095" t="s">
        <v>671</v>
      </c>
      <c r="B6095" t="s">
        <v>47</v>
      </c>
      <c r="E6095" s="3">
        <f>HYPERLINK("https://sao.dolgi.msk.ru/account/1404119045/", 1404119045)</f>
        <v>1404119045</v>
      </c>
      <c r="F6095">
        <v>-3429.37</v>
      </c>
    </row>
    <row r="6096" spans="1:6" x14ac:dyDescent="0.25">
      <c r="A6096" t="s">
        <v>671</v>
      </c>
      <c r="B6096" t="s">
        <v>48</v>
      </c>
      <c r="C6096" s="5" t="str">
        <f>" кв. "&amp;B6096</f>
        <v xml:space="preserve"> кв. 44</v>
      </c>
      <c r="D6096" s="5" t="str">
        <f>CONCATENATE(A6096,C6096)</f>
        <v>Ленинградское шоссе, дом 98 к.1 кв. 44</v>
      </c>
      <c r="E6096" s="3">
        <f>HYPERLINK("https://sao.dolgi.msk.ru/account/1404118878/", 1404118878)</f>
        <v>1404118878</v>
      </c>
      <c r="F6096">
        <v>84393.06</v>
      </c>
    </row>
    <row r="6097" spans="1:6" hidden="1" x14ac:dyDescent="0.25">
      <c r="A6097" t="s">
        <v>671</v>
      </c>
      <c r="B6097" t="s">
        <v>48</v>
      </c>
      <c r="E6097" s="3">
        <f>HYPERLINK("https://sao.dolgi.msk.ru/account/1404171185/", 1404171185)</f>
        <v>1404171185</v>
      </c>
      <c r="F6097">
        <v>-2288.39</v>
      </c>
    </row>
    <row r="6098" spans="1:6" x14ac:dyDescent="0.25">
      <c r="A6098" t="s">
        <v>671</v>
      </c>
      <c r="B6098" t="s">
        <v>48</v>
      </c>
      <c r="C6098" s="5" t="str">
        <f>" кв. "&amp;B6098</f>
        <v xml:space="preserve"> кв. 44</v>
      </c>
      <c r="D6098" s="5" t="str">
        <f>CONCATENATE(A6098,C6098)</f>
        <v>Ленинградское шоссе, дом 98 к.1 кв. 44</v>
      </c>
      <c r="E6098" s="3">
        <f>HYPERLINK("https://sao.dolgi.msk.ru/account/1404171193/", 1404171193)</f>
        <v>1404171193</v>
      </c>
      <c r="F6098">
        <v>12788.09</v>
      </c>
    </row>
    <row r="6099" spans="1:6" hidden="1" x14ac:dyDescent="0.25">
      <c r="A6099" t="s">
        <v>671</v>
      </c>
      <c r="B6099" t="s">
        <v>49</v>
      </c>
      <c r="E6099" s="3">
        <f>HYPERLINK("https://sao.dolgi.msk.ru/account/1404118528/", 1404118528)</f>
        <v>1404118528</v>
      </c>
      <c r="F6099">
        <v>-3318.54</v>
      </c>
    </row>
    <row r="6100" spans="1:6" hidden="1" x14ac:dyDescent="0.25">
      <c r="A6100" t="s">
        <v>671</v>
      </c>
      <c r="B6100" t="s">
        <v>50</v>
      </c>
      <c r="E6100" s="3">
        <f>HYPERLINK("https://sao.dolgi.msk.ru/account/1404118827/", 1404118827)</f>
        <v>1404118827</v>
      </c>
      <c r="F6100">
        <v>-4504.51</v>
      </c>
    </row>
    <row r="6101" spans="1:6" hidden="1" x14ac:dyDescent="0.25">
      <c r="A6101" t="s">
        <v>671</v>
      </c>
      <c r="B6101" t="s">
        <v>51</v>
      </c>
      <c r="E6101" s="3">
        <f>HYPERLINK("https://sao.dolgi.msk.ru/account/1404118886/", 1404118886)</f>
        <v>1404118886</v>
      </c>
      <c r="F6101">
        <v>-2579.81</v>
      </c>
    </row>
    <row r="6102" spans="1:6" x14ac:dyDescent="0.25">
      <c r="A6102" t="s">
        <v>671</v>
      </c>
      <c r="B6102" t="s">
        <v>52</v>
      </c>
      <c r="C6102" s="5" t="str">
        <f>" кв. "&amp;B6102</f>
        <v xml:space="preserve"> кв. 48</v>
      </c>
      <c r="D6102" s="5" t="str">
        <f>CONCATENATE(A6102,C6102)</f>
        <v>Ленинградское шоссе, дом 98 к.1 кв. 48</v>
      </c>
      <c r="E6102" s="3">
        <f>HYPERLINK("https://sao.dolgi.msk.ru/account/1404119053/", 1404119053)</f>
        <v>1404119053</v>
      </c>
      <c r="F6102">
        <v>10283.42</v>
      </c>
    </row>
    <row r="6103" spans="1:6" hidden="1" x14ac:dyDescent="0.25">
      <c r="A6103" t="s">
        <v>671</v>
      </c>
      <c r="B6103" t="s">
        <v>53</v>
      </c>
      <c r="E6103" s="3">
        <f>HYPERLINK("https://sao.dolgi.msk.ru/account/1404119176/", 1404119176)</f>
        <v>1404119176</v>
      </c>
      <c r="F6103">
        <v>-3938.35</v>
      </c>
    </row>
    <row r="6104" spans="1:6" hidden="1" x14ac:dyDescent="0.25">
      <c r="A6104" t="s">
        <v>671</v>
      </c>
      <c r="B6104" t="s">
        <v>54</v>
      </c>
      <c r="E6104" s="3">
        <f>HYPERLINK("https://sao.dolgi.msk.ru/account/1404118894/", 1404118894)</f>
        <v>1404118894</v>
      </c>
      <c r="F6104">
        <v>-4431.8999999999996</v>
      </c>
    </row>
    <row r="6105" spans="1:6" hidden="1" x14ac:dyDescent="0.25">
      <c r="A6105" t="s">
        <v>671</v>
      </c>
      <c r="B6105" t="s">
        <v>55</v>
      </c>
      <c r="E6105" s="3">
        <f>HYPERLINK("https://sao.dolgi.msk.ru/account/1404118675/", 1404118675)</f>
        <v>1404118675</v>
      </c>
      <c r="F6105">
        <v>0</v>
      </c>
    </row>
    <row r="6106" spans="1:6" hidden="1" x14ac:dyDescent="0.25">
      <c r="A6106" t="s">
        <v>671</v>
      </c>
      <c r="B6106" t="s">
        <v>56</v>
      </c>
      <c r="E6106" s="3">
        <f>HYPERLINK("https://sao.dolgi.msk.ru/account/1404118907/", 1404118907)</f>
        <v>1404118907</v>
      </c>
      <c r="F6106">
        <v>-1907.32</v>
      </c>
    </row>
    <row r="6107" spans="1:6" x14ac:dyDescent="0.25">
      <c r="A6107" t="s">
        <v>671</v>
      </c>
      <c r="B6107" t="s">
        <v>56</v>
      </c>
      <c r="C6107" s="5" t="str">
        <f>" кв. "&amp;B6107</f>
        <v xml:space="preserve"> кв. 52</v>
      </c>
      <c r="D6107" s="5" t="str">
        <f>CONCATENATE(A6107,C6107)</f>
        <v>Ленинградское шоссе, дом 98 к.1 кв. 52</v>
      </c>
      <c r="E6107" s="3">
        <f>HYPERLINK("https://sao.dolgi.msk.ru/account/1404119221/", 1404119221)</f>
        <v>1404119221</v>
      </c>
      <c r="F6107">
        <v>14784.16</v>
      </c>
    </row>
    <row r="6108" spans="1:6" hidden="1" x14ac:dyDescent="0.25">
      <c r="A6108" t="s">
        <v>671</v>
      </c>
      <c r="B6108" t="s">
        <v>57</v>
      </c>
      <c r="E6108" s="3">
        <f>HYPERLINK("https://sao.dolgi.msk.ru/account/1404119061/", 1404119061)</f>
        <v>1404119061</v>
      </c>
      <c r="F6108">
        <v>-1081.52</v>
      </c>
    </row>
    <row r="6109" spans="1:6" hidden="1" x14ac:dyDescent="0.25">
      <c r="A6109" t="s">
        <v>671</v>
      </c>
      <c r="B6109" t="s">
        <v>58</v>
      </c>
      <c r="E6109" s="3">
        <f>HYPERLINK("https://sao.dolgi.msk.ru/account/1404119328/", 1404119328)</f>
        <v>1404119328</v>
      </c>
      <c r="F6109">
        <v>-2570.89</v>
      </c>
    </row>
    <row r="6110" spans="1:6" hidden="1" x14ac:dyDescent="0.25">
      <c r="A6110" t="s">
        <v>671</v>
      </c>
      <c r="B6110" t="s">
        <v>59</v>
      </c>
      <c r="E6110" s="3">
        <f>HYPERLINK("https://sao.dolgi.msk.ru/account/1404118915/", 1404118915)</f>
        <v>1404118915</v>
      </c>
      <c r="F6110">
        <v>-3421.9</v>
      </c>
    </row>
    <row r="6111" spans="1:6" hidden="1" x14ac:dyDescent="0.25">
      <c r="A6111" t="s">
        <v>671</v>
      </c>
      <c r="B6111" t="s">
        <v>60</v>
      </c>
      <c r="E6111" s="3">
        <f>HYPERLINK("https://sao.dolgi.msk.ru/account/1404119192/", 1404119192)</f>
        <v>1404119192</v>
      </c>
      <c r="F6111">
        <v>-3052.5</v>
      </c>
    </row>
    <row r="6112" spans="1:6" x14ac:dyDescent="0.25">
      <c r="A6112" t="s">
        <v>671</v>
      </c>
      <c r="B6112" t="s">
        <v>61</v>
      </c>
      <c r="C6112" s="5" t="str">
        <f>" кв. "&amp;B6112</f>
        <v xml:space="preserve"> кв. 57</v>
      </c>
      <c r="D6112" s="5" t="str">
        <f>CONCATENATE(A6112,C6112)</f>
        <v>Ленинградское шоссе, дом 98 к.1 кв. 57</v>
      </c>
      <c r="E6112" s="3">
        <f>HYPERLINK("https://sao.dolgi.msk.ru/account/1404118456/", 1404118456)</f>
        <v>1404118456</v>
      </c>
      <c r="F6112">
        <v>14984.72</v>
      </c>
    </row>
    <row r="6113" spans="1:6" hidden="1" x14ac:dyDescent="0.25">
      <c r="A6113" t="s">
        <v>671</v>
      </c>
      <c r="B6113" t="s">
        <v>62</v>
      </c>
      <c r="E6113" s="3">
        <f>HYPERLINK("https://sao.dolgi.msk.ru/account/1404118536/", 1404118536)</f>
        <v>1404118536</v>
      </c>
      <c r="F6113">
        <v>0</v>
      </c>
    </row>
    <row r="6114" spans="1:6" hidden="1" x14ac:dyDescent="0.25">
      <c r="A6114" t="s">
        <v>671</v>
      </c>
      <c r="B6114" t="s">
        <v>63</v>
      </c>
      <c r="E6114" s="3">
        <f>HYPERLINK("https://sao.dolgi.msk.ru/account/1404118544/", 1404118544)</f>
        <v>1404118544</v>
      </c>
      <c r="F6114">
        <v>-5444.28</v>
      </c>
    </row>
    <row r="6115" spans="1:6" hidden="1" x14ac:dyDescent="0.25">
      <c r="A6115" t="s">
        <v>671</v>
      </c>
      <c r="B6115" t="s">
        <v>64</v>
      </c>
      <c r="E6115" s="3">
        <f>HYPERLINK("https://sao.dolgi.msk.ru/account/1404119088/", 1404119088)</f>
        <v>1404119088</v>
      </c>
      <c r="F6115">
        <v>-3187.84</v>
      </c>
    </row>
    <row r="6116" spans="1:6" x14ac:dyDescent="0.25">
      <c r="A6116" t="s">
        <v>671</v>
      </c>
      <c r="B6116" t="s">
        <v>65</v>
      </c>
      <c r="C6116" s="5" t="str">
        <f>" кв. "&amp;B6116</f>
        <v xml:space="preserve"> кв. 61</v>
      </c>
      <c r="D6116" s="5" t="str">
        <f>CONCATENATE(A6116,C6116)</f>
        <v>Ленинградское шоссе, дом 98 к.1 кв. 61</v>
      </c>
      <c r="E6116" s="3">
        <f>HYPERLINK("https://sao.dolgi.msk.ru/account/1404118923/", 1404118923)</f>
        <v>1404118923</v>
      </c>
      <c r="F6116">
        <v>7442.52</v>
      </c>
    </row>
    <row r="6117" spans="1:6" hidden="1" x14ac:dyDescent="0.25">
      <c r="A6117" t="s">
        <v>671</v>
      </c>
      <c r="B6117" t="s">
        <v>66</v>
      </c>
      <c r="E6117" s="3">
        <f>HYPERLINK("https://sao.dolgi.msk.ru/account/1404119336/", 1404119336)</f>
        <v>1404119336</v>
      </c>
      <c r="F6117">
        <v>0</v>
      </c>
    </row>
    <row r="6118" spans="1:6" hidden="1" x14ac:dyDescent="0.25">
      <c r="A6118" t="s">
        <v>671</v>
      </c>
      <c r="B6118" t="s">
        <v>67</v>
      </c>
      <c r="E6118" s="3">
        <f>HYPERLINK("https://sao.dolgi.msk.ru/account/1404119344/", 1404119344)</f>
        <v>1404119344</v>
      </c>
      <c r="F6118">
        <v>0</v>
      </c>
    </row>
    <row r="6119" spans="1:6" hidden="1" x14ac:dyDescent="0.25">
      <c r="A6119" t="s">
        <v>671</v>
      </c>
      <c r="B6119" t="s">
        <v>68</v>
      </c>
      <c r="E6119" s="3">
        <f>HYPERLINK("https://sao.dolgi.msk.ru/account/1404119205/", 1404119205)</f>
        <v>1404119205</v>
      </c>
      <c r="F6119">
        <v>-3587.51</v>
      </c>
    </row>
    <row r="6120" spans="1:6" hidden="1" x14ac:dyDescent="0.25">
      <c r="A6120" t="s">
        <v>671</v>
      </c>
      <c r="B6120" t="s">
        <v>69</v>
      </c>
      <c r="E6120" s="3">
        <f>HYPERLINK("https://sao.dolgi.msk.ru/account/1404118691/", 1404118691)</f>
        <v>1404118691</v>
      </c>
      <c r="F6120">
        <v>-6076.98</v>
      </c>
    </row>
    <row r="6121" spans="1:6" hidden="1" x14ac:dyDescent="0.25">
      <c r="A6121" t="s">
        <v>671</v>
      </c>
      <c r="B6121" t="s">
        <v>70</v>
      </c>
      <c r="E6121" s="3">
        <f>HYPERLINK("https://sao.dolgi.msk.ru/account/1404118835/", 1404118835)</f>
        <v>1404118835</v>
      </c>
      <c r="F6121">
        <v>0</v>
      </c>
    </row>
    <row r="6122" spans="1:6" hidden="1" x14ac:dyDescent="0.25">
      <c r="A6122" t="s">
        <v>671</v>
      </c>
      <c r="B6122" t="s">
        <v>71</v>
      </c>
      <c r="E6122" s="3">
        <f>HYPERLINK("https://sao.dolgi.msk.ru/account/1404118464/", 1404118464)</f>
        <v>1404118464</v>
      </c>
      <c r="F6122">
        <v>-3721.66</v>
      </c>
    </row>
    <row r="6123" spans="1:6" hidden="1" x14ac:dyDescent="0.25">
      <c r="A6123" t="s">
        <v>671</v>
      </c>
      <c r="B6123" t="s">
        <v>72</v>
      </c>
      <c r="E6123" s="3">
        <f>HYPERLINK("https://sao.dolgi.msk.ru/account/1404118931/", 1404118931)</f>
        <v>1404118931</v>
      </c>
      <c r="F6123">
        <v>-266.56</v>
      </c>
    </row>
    <row r="6124" spans="1:6" x14ac:dyDescent="0.25">
      <c r="A6124" t="s">
        <v>671</v>
      </c>
      <c r="B6124" t="s">
        <v>73</v>
      </c>
      <c r="C6124" s="5" t="str">
        <f>" кв. "&amp;B6124</f>
        <v xml:space="preserve"> кв. 69</v>
      </c>
      <c r="D6124" s="5" t="str">
        <f>CONCATENATE(A6124,C6124)</f>
        <v>Ленинградское шоссе, дом 98 к.1 кв. 69</v>
      </c>
      <c r="E6124" s="3">
        <f>HYPERLINK("https://sao.dolgi.msk.ru/account/1404118552/", 1404118552)</f>
        <v>1404118552</v>
      </c>
      <c r="F6124">
        <v>2911.84</v>
      </c>
    </row>
    <row r="6125" spans="1:6" hidden="1" x14ac:dyDescent="0.25">
      <c r="A6125" t="s">
        <v>671</v>
      </c>
      <c r="B6125" t="s">
        <v>74</v>
      </c>
      <c r="E6125" s="3">
        <f>HYPERLINK("https://sao.dolgi.msk.ru/account/1404118704/", 1404118704)</f>
        <v>1404118704</v>
      </c>
      <c r="F6125">
        <v>-2661.76</v>
      </c>
    </row>
    <row r="6126" spans="1:6" hidden="1" x14ac:dyDescent="0.25">
      <c r="A6126" t="s">
        <v>671</v>
      </c>
      <c r="B6126" t="s">
        <v>75</v>
      </c>
      <c r="E6126" s="3">
        <f>HYPERLINK("https://sao.dolgi.msk.ru/account/1404119352/", 1404119352)</f>
        <v>1404119352</v>
      </c>
      <c r="F6126">
        <v>-6067.17</v>
      </c>
    </row>
    <row r="6127" spans="1:6" x14ac:dyDescent="0.25">
      <c r="A6127" t="s">
        <v>671</v>
      </c>
      <c r="B6127" t="s">
        <v>76</v>
      </c>
      <c r="C6127" s="5" t="str">
        <f>" кв. "&amp;B6127</f>
        <v xml:space="preserve"> кв. 72</v>
      </c>
      <c r="D6127" s="5" t="str">
        <f>CONCATENATE(A6127,C6127)</f>
        <v>Ленинградское шоссе, дом 98 к.1 кв. 72</v>
      </c>
      <c r="E6127" s="3">
        <f>HYPERLINK("https://sao.dolgi.msk.ru/account/1404119109/", 1404119109)</f>
        <v>1404119109</v>
      </c>
      <c r="F6127">
        <v>1513.93</v>
      </c>
    </row>
    <row r="6128" spans="1:6" hidden="1" x14ac:dyDescent="0.25">
      <c r="A6128" t="s">
        <v>671</v>
      </c>
      <c r="B6128" t="s">
        <v>77</v>
      </c>
      <c r="E6128" s="3">
        <f>HYPERLINK("https://sao.dolgi.msk.ru/account/1404118958/", 1404118958)</f>
        <v>1404118958</v>
      </c>
      <c r="F6128">
        <v>-1976.64</v>
      </c>
    </row>
    <row r="6129" spans="1:6" hidden="1" x14ac:dyDescent="0.25">
      <c r="A6129" t="s">
        <v>671</v>
      </c>
      <c r="B6129" t="s">
        <v>78</v>
      </c>
      <c r="E6129" s="3">
        <f>HYPERLINK("https://sao.dolgi.msk.ru/account/1404118579/", 1404118579)</f>
        <v>1404118579</v>
      </c>
      <c r="F6129">
        <v>0</v>
      </c>
    </row>
    <row r="6130" spans="1:6" hidden="1" x14ac:dyDescent="0.25">
      <c r="A6130" t="s">
        <v>671</v>
      </c>
      <c r="B6130" t="s">
        <v>79</v>
      </c>
      <c r="E6130" s="3">
        <f>HYPERLINK("https://sao.dolgi.msk.ru/account/1404118712/", 1404118712)</f>
        <v>1404118712</v>
      </c>
      <c r="F6130">
        <v>-3186.28</v>
      </c>
    </row>
    <row r="6131" spans="1:6" hidden="1" x14ac:dyDescent="0.25">
      <c r="A6131" t="s">
        <v>671</v>
      </c>
      <c r="B6131" t="s">
        <v>80</v>
      </c>
      <c r="E6131" s="3">
        <f>HYPERLINK("https://sao.dolgi.msk.ru/account/1404118966/", 1404118966)</f>
        <v>1404118966</v>
      </c>
      <c r="F6131">
        <v>-1914.75</v>
      </c>
    </row>
    <row r="6132" spans="1:6" hidden="1" x14ac:dyDescent="0.25">
      <c r="A6132" t="s">
        <v>671</v>
      </c>
      <c r="B6132" t="s">
        <v>81</v>
      </c>
      <c r="E6132" s="3">
        <f>HYPERLINK("https://sao.dolgi.msk.ru/account/1404118739/", 1404118739)</f>
        <v>1404118739</v>
      </c>
      <c r="F6132">
        <v>-4836.38</v>
      </c>
    </row>
    <row r="6133" spans="1:6" hidden="1" x14ac:dyDescent="0.25">
      <c r="A6133" t="s">
        <v>671</v>
      </c>
      <c r="B6133" t="s">
        <v>82</v>
      </c>
      <c r="E6133" s="3">
        <f>HYPERLINK("https://sao.dolgi.msk.ru/account/1404118747/", 1404118747)</f>
        <v>1404118747</v>
      </c>
      <c r="F6133">
        <v>-8096.58</v>
      </c>
    </row>
    <row r="6134" spans="1:6" hidden="1" x14ac:dyDescent="0.25">
      <c r="A6134" t="s">
        <v>671</v>
      </c>
      <c r="B6134" t="s">
        <v>83</v>
      </c>
      <c r="E6134" s="3">
        <f>HYPERLINK("https://sao.dolgi.msk.ru/account/1404118755/", 1404118755)</f>
        <v>1404118755</v>
      </c>
      <c r="F6134">
        <v>-5465.67</v>
      </c>
    </row>
    <row r="6135" spans="1:6" hidden="1" x14ac:dyDescent="0.25">
      <c r="A6135" t="s">
        <v>671</v>
      </c>
      <c r="B6135" t="s">
        <v>84</v>
      </c>
      <c r="E6135" s="3">
        <f>HYPERLINK("https://sao.dolgi.msk.ru/account/1404118587/", 1404118587)</f>
        <v>1404118587</v>
      </c>
      <c r="F6135">
        <v>0</v>
      </c>
    </row>
    <row r="6136" spans="1:6" hidden="1" x14ac:dyDescent="0.25">
      <c r="A6136" t="s">
        <v>672</v>
      </c>
      <c r="B6136" t="s">
        <v>5</v>
      </c>
      <c r="E6136" s="3">
        <f>HYPERLINK("https://sao.dolgi.msk.ru/account/1404120265/", 1404120265)</f>
        <v>1404120265</v>
      </c>
      <c r="F6136">
        <v>-3677.17</v>
      </c>
    </row>
    <row r="6137" spans="1:6" hidden="1" x14ac:dyDescent="0.25">
      <c r="A6137" t="s">
        <v>672</v>
      </c>
      <c r="B6137" t="s">
        <v>6</v>
      </c>
      <c r="E6137" s="3">
        <f>HYPERLINK("https://sao.dolgi.msk.ru/account/1404119846/", 1404119846)</f>
        <v>1404119846</v>
      </c>
      <c r="F6137">
        <v>-3032.91</v>
      </c>
    </row>
    <row r="6138" spans="1:6" hidden="1" x14ac:dyDescent="0.25">
      <c r="A6138" t="s">
        <v>672</v>
      </c>
      <c r="B6138" t="s">
        <v>7</v>
      </c>
      <c r="E6138" s="3">
        <f>HYPERLINK("https://sao.dolgi.msk.ru/account/1404119643/", 1404119643)</f>
        <v>1404119643</v>
      </c>
      <c r="F6138">
        <v>-2913.79</v>
      </c>
    </row>
    <row r="6139" spans="1:6" hidden="1" x14ac:dyDescent="0.25">
      <c r="A6139" t="s">
        <v>672</v>
      </c>
      <c r="B6139" t="s">
        <v>8</v>
      </c>
      <c r="E6139" s="3">
        <f>HYPERLINK("https://sao.dolgi.msk.ru/account/1404119766/", 1404119766)</f>
        <v>1404119766</v>
      </c>
      <c r="F6139">
        <v>0</v>
      </c>
    </row>
    <row r="6140" spans="1:6" hidden="1" x14ac:dyDescent="0.25">
      <c r="A6140" t="s">
        <v>672</v>
      </c>
      <c r="B6140" t="s">
        <v>9</v>
      </c>
      <c r="E6140" s="3">
        <f>HYPERLINK("https://sao.dolgi.msk.ru/account/1404119387/", 1404119387)</f>
        <v>1404119387</v>
      </c>
      <c r="F6140">
        <v>-3042.01</v>
      </c>
    </row>
    <row r="6141" spans="1:6" hidden="1" x14ac:dyDescent="0.25">
      <c r="A6141" t="s">
        <v>672</v>
      </c>
      <c r="B6141" t="s">
        <v>10</v>
      </c>
      <c r="E6141" s="3">
        <f>HYPERLINK("https://sao.dolgi.msk.ru/account/1404119707/", 1404119707)</f>
        <v>1404119707</v>
      </c>
      <c r="F6141">
        <v>-2498.88</v>
      </c>
    </row>
    <row r="6142" spans="1:6" hidden="1" x14ac:dyDescent="0.25">
      <c r="A6142" t="s">
        <v>672</v>
      </c>
      <c r="B6142" t="s">
        <v>11</v>
      </c>
      <c r="E6142" s="3">
        <f>HYPERLINK("https://sao.dolgi.msk.ru/account/1404119547/", 1404119547)</f>
        <v>1404119547</v>
      </c>
      <c r="F6142">
        <v>-6512.91</v>
      </c>
    </row>
    <row r="6143" spans="1:6" hidden="1" x14ac:dyDescent="0.25">
      <c r="A6143" t="s">
        <v>672</v>
      </c>
      <c r="B6143" t="s">
        <v>12</v>
      </c>
      <c r="E6143" s="3">
        <f>HYPERLINK("https://sao.dolgi.msk.ru/account/1404119563/", 1404119563)</f>
        <v>1404119563</v>
      </c>
      <c r="F6143">
        <v>0</v>
      </c>
    </row>
    <row r="6144" spans="1:6" hidden="1" x14ac:dyDescent="0.25">
      <c r="A6144" t="s">
        <v>672</v>
      </c>
      <c r="B6144" t="s">
        <v>13</v>
      </c>
      <c r="E6144" s="3">
        <f>HYPERLINK("https://sao.dolgi.msk.ru/account/1404119571/", 1404119571)</f>
        <v>1404119571</v>
      </c>
      <c r="F6144">
        <v>0</v>
      </c>
    </row>
    <row r="6145" spans="1:6" hidden="1" x14ac:dyDescent="0.25">
      <c r="A6145" t="s">
        <v>672</v>
      </c>
      <c r="B6145" t="s">
        <v>14</v>
      </c>
      <c r="E6145" s="3">
        <f>HYPERLINK("https://sao.dolgi.msk.ru/account/1404120273/", 1404120273)</f>
        <v>1404120273</v>
      </c>
      <c r="F6145">
        <v>-4269.99</v>
      </c>
    </row>
    <row r="6146" spans="1:6" hidden="1" x14ac:dyDescent="0.25">
      <c r="A6146" t="s">
        <v>672</v>
      </c>
      <c r="B6146" t="s">
        <v>15</v>
      </c>
      <c r="E6146" s="3">
        <f>HYPERLINK("https://sao.dolgi.msk.ru/account/1404119432/", 1404119432)</f>
        <v>1404119432</v>
      </c>
      <c r="F6146">
        <v>-6602.01</v>
      </c>
    </row>
    <row r="6147" spans="1:6" hidden="1" x14ac:dyDescent="0.25">
      <c r="A6147" t="s">
        <v>672</v>
      </c>
      <c r="B6147" t="s">
        <v>16</v>
      </c>
      <c r="E6147" s="3">
        <f>HYPERLINK("https://sao.dolgi.msk.ru/account/1404120142/", 1404120142)</f>
        <v>1404120142</v>
      </c>
      <c r="F6147">
        <v>-3595.29</v>
      </c>
    </row>
    <row r="6148" spans="1:6" hidden="1" x14ac:dyDescent="0.25">
      <c r="A6148" t="s">
        <v>672</v>
      </c>
      <c r="B6148" t="s">
        <v>17</v>
      </c>
      <c r="E6148" s="3">
        <f>HYPERLINK("https://sao.dolgi.msk.ru/account/1404119811/", 1404119811)</f>
        <v>1404119811</v>
      </c>
      <c r="F6148">
        <v>-2798.58</v>
      </c>
    </row>
    <row r="6149" spans="1:6" x14ac:dyDescent="0.25">
      <c r="A6149" t="s">
        <v>672</v>
      </c>
      <c r="B6149" t="s">
        <v>18</v>
      </c>
      <c r="C6149" s="5" t="str">
        <f>" кв. "&amp;B6149</f>
        <v xml:space="preserve"> кв. 14</v>
      </c>
      <c r="D6149" s="5" t="str">
        <f>CONCATENATE(A6149,C6149)</f>
        <v>Ленинградское шоссе, дом 98 к.2 кв. 14</v>
      </c>
      <c r="E6149" s="3">
        <f>HYPERLINK("https://sao.dolgi.msk.ru/account/1404120281/", 1404120281)</f>
        <v>1404120281</v>
      </c>
      <c r="F6149">
        <v>6062.47</v>
      </c>
    </row>
    <row r="6150" spans="1:6" hidden="1" x14ac:dyDescent="0.25">
      <c r="A6150" t="s">
        <v>672</v>
      </c>
      <c r="B6150" t="s">
        <v>19</v>
      </c>
      <c r="E6150" s="3">
        <f>HYPERLINK("https://sao.dolgi.msk.ru/account/1404120302/", 1404120302)</f>
        <v>1404120302</v>
      </c>
      <c r="F6150">
        <v>-6229.71</v>
      </c>
    </row>
    <row r="6151" spans="1:6" hidden="1" x14ac:dyDescent="0.25">
      <c r="A6151" t="s">
        <v>672</v>
      </c>
      <c r="B6151" t="s">
        <v>20</v>
      </c>
      <c r="E6151" s="3">
        <f>HYPERLINK("https://sao.dolgi.msk.ru/account/1404119598/", 1404119598)</f>
        <v>1404119598</v>
      </c>
      <c r="F6151">
        <v>0</v>
      </c>
    </row>
    <row r="6152" spans="1:6" hidden="1" x14ac:dyDescent="0.25">
      <c r="A6152" t="s">
        <v>672</v>
      </c>
      <c r="B6152" t="s">
        <v>21</v>
      </c>
      <c r="E6152" s="3">
        <f>HYPERLINK("https://sao.dolgi.msk.ru/account/1404150245/", 1404150245)</f>
        <v>1404150245</v>
      </c>
      <c r="F6152">
        <v>-2035.6</v>
      </c>
    </row>
    <row r="6153" spans="1:6" hidden="1" x14ac:dyDescent="0.25">
      <c r="A6153" t="s">
        <v>672</v>
      </c>
      <c r="B6153" t="s">
        <v>22</v>
      </c>
      <c r="E6153" s="3">
        <f>HYPERLINK("https://sao.dolgi.msk.ru/account/1404119619/", 1404119619)</f>
        <v>1404119619</v>
      </c>
      <c r="F6153">
        <v>-3718.84</v>
      </c>
    </row>
    <row r="6154" spans="1:6" x14ac:dyDescent="0.25">
      <c r="A6154" t="s">
        <v>672</v>
      </c>
      <c r="B6154" t="s">
        <v>23</v>
      </c>
      <c r="C6154" s="5" t="str">
        <f>" кв. "&amp;B6154</f>
        <v xml:space="preserve"> кв. 19</v>
      </c>
      <c r="D6154" s="5" t="str">
        <f>CONCATENATE(A6154,C6154)</f>
        <v>Ленинградское шоссе, дом 98 к.2 кв. 19</v>
      </c>
      <c r="E6154" s="3">
        <f>HYPERLINK("https://sao.dolgi.msk.ru/account/1404119459/", 1404119459)</f>
        <v>1404119459</v>
      </c>
      <c r="F6154">
        <v>1785.84</v>
      </c>
    </row>
    <row r="6155" spans="1:6" hidden="1" x14ac:dyDescent="0.25">
      <c r="A6155" t="s">
        <v>672</v>
      </c>
      <c r="B6155" t="s">
        <v>24</v>
      </c>
      <c r="E6155" s="3">
        <f>HYPERLINK("https://sao.dolgi.msk.ru/account/1404120329/", 1404120329)</f>
        <v>1404120329</v>
      </c>
      <c r="F6155">
        <v>-5157.18</v>
      </c>
    </row>
    <row r="6156" spans="1:6" hidden="1" x14ac:dyDescent="0.25">
      <c r="A6156" t="s">
        <v>672</v>
      </c>
      <c r="B6156" t="s">
        <v>25</v>
      </c>
      <c r="E6156" s="3">
        <f>HYPERLINK("https://sao.dolgi.msk.ru/account/1404119467/", 1404119467)</f>
        <v>1404119467</v>
      </c>
      <c r="F6156">
        <v>-2497.29</v>
      </c>
    </row>
    <row r="6157" spans="1:6" hidden="1" x14ac:dyDescent="0.25">
      <c r="A6157" t="s">
        <v>672</v>
      </c>
      <c r="B6157" t="s">
        <v>26</v>
      </c>
      <c r="E6157" s="3">
        <f>HYPERLINK("https://sao.dolgi.msk.ru/account/1404120337/", 1404120337)</f>
        <v>1404120337</v>
      </c>
      <c r="F6157">
        <v>0</v>
      </c>
    </row>
    <row r="6158" spans="1:6" hidden="1" x14ac:dyDescent="0.25">
      <c r="A6158" t="s">
        <v>672</v>
      </c>
      <c r="B6158" t="s">
        <v>27</v>
      </c>
      <c r="E6158" s="3">
        <f>HYPERLINK("https://sao.dolgi.msk.ru/account/1404119627/", 1404119627)</f>
        <v>1404119627</v>
      </c>
      <c r="F6158">
        <v>-4793.8</v>
      </c>
    </row>
    <row r="6159" spans="1:6" x14ac:dyDescent="0.25">
      <c r="A6159" t="s">
        <v>672</v>
      </c>
      <c r="B6159" t="s">
        <v>28</v>
      </c>
      <c r="C6159" s="5" t="str">
        <f>" кв. "&amp;B6159</f>
        <v xml:space="preserve"> кв. 24</v>
      </c>
      <c r="D6159" s="5" t="str">
        <f>CONCATENATE(A6159,C6159)</f>
        <v>Ленинградское шоссе, дом 98 к.2 кв. 24</v>
      </c>
      <c r="E6159" s="3">
        <f>HYPERLINK("https://sao.dolgi.msk.ru/account/1404119475/", 1404119475)</f>
        <v>1404119475</v>
      </c>
      <c r="F6159">
        <v>7633.61</v>
      </c>
    </row>
    <row r="6160" spans="1:6" hidden="1" x14ac:dyDescent="0.25">
      <c r="A6160" t="s">
        <v>672</v>
      </c>
      <c r="B6160" t="s">
        <v>29</v>
      </c>
      <c r="E6160" s="3">
        <f>HYPERLINK("https://sao.dolgi.msk.ru/account/1404119993/", 1404119993)</f>
        <v>1404119993</v>
      </c>
      <c r="F6160">
        <v>-2942.74</v>
      </c>
    </row>
    <row r="6161" spans="1:6" hidden="1" x14ac:dyDescent="0.25">
      <c r="A6161" t="s">
        <v>672</v>
      </c>
      <c r="B6161" t="s">
        <v>30</v>
      </c>
      <c r="E6161" s="3">
        <f>HYPERLINK("https://sao.dolgi.msk.ru/account/1404119723/", 1404119723)</f>
        <v>1404119723</v>
      </c>
      <c r="F6161">
        <v>0</v>
      </c>
    </row>
    <row r="6162" spans="1:6" hidden="1" x14ac:dyDescent="0.25">
      <c r="A6162" t="s">
        <v>672</v>
      </c>
      <c r="B6162" t="s">
        <v>31</v>
      </c>
      <c r="E6162" s="3">
        <f>HYPERLINK("https://sao.dolgi.msk.ru/account/1404119635/", 1404119635)</f>
        <v>1404119635</v>
      </c>
      <c r="F6162">
        <v>-169.2</v>
      </c>
    </row>
    <row r="6163" spans="1:6" hidden="1" x14ac:dyDescent="0.25">
      <c r="A6163" t="s">
        <v>672</v>
      </c>
      <c r="B6163" t="s">
        <v>32</v>
      </c>
      <c r="E6163" s="3">
        <f>HYPERLINK("https://sao.dolgi.msk.ru/account/1404120345/", 1404120345)</f>
        <v>1404120345</v>
      </c>
      <c r="F6163">
        <v>-3917.65</v>
      </c>
    </row>
    <row r="6164" spans="1:6" x14ac:dyDescent="0.25">
      <c r="A6164" t="s">
        <v>672</v>
      </c>
      <c r="B6164" t="s">
        <v>33</v>
      </c>
      <c r="C6164" s="5" t="str">
        <f>" кв. "&amp;B6164</f>
        <v xml:space="preserve"> кв. 29</v>
      </c>
      <c r="D6164" s="5" t="str">
        <f>CONCATENATE(A6164,C6164)</f>
        <v>Ленинградское шоссе, дом 98 к.2 кв. 29</v>
      </c>
      <c r="E6164" s="3">
        <f>HYPERLINK("https://sao.dolgi.msk.ru/account/1404120003/", 1404120003)</f>
        <v>1404120003</v>
      </c>
      <c r="F6164">
        <v>9216.51</v>
      </c>
    </row>
    <row r="6165" spans="1:6" hidden="1" x14ac:dyDescent="0.25">
      <c r="A6165" t="s">
        <v>672</v>
      </c>
      <c r="B6165" t="s">
        <v>34</v>
      </c>
      <c r="E6165" s="3">
        <f>HYPERLINK("https://sao.dolgi.msk.ru/account/1404120169/", 1404120169)</f>
        <v>1404120169</v>
      </c>
      <c r="F6165">
        <v>0</v>
      </c>
    </row>
    <row r="6166" spans="1:6" hidden="1" x14ac:dyDescent="0.25">
      <c r="A6166" t="s">
        <v>672</v>
      </c>
      <c r="B6166" t="s">
        <v>35</v>
      </c>
      <c r="E6166" s="3">
        <f>HYPERLINK("https://sao.dolgi.msk.ru/account/1404120011/", 1404120011)</f>
        <v>1404120011</v>
      </c>
      <c r="F6166">
        <v>-2514.44</v>
      </c>
    </row>
    <row r="6167" spans="1:6" hidden="1" x14ac:dyDescent="0.25">
      <c r="A6167" t="s">
        <v>672</v>
      </c>
      <c r="B6167" t="s">
        <v>36</v>
      </c>
      <c r="E6167" s="3">
        <f>HYPERLINK("https://sao.dolgi.msk.ru/account/1404120177/", 1404120177)</f>
        <v>1404120177</v>
      </c>
      <c r="F6167">
        <v>-2390.6799999999998</v>
      </c>
    </row>
    <row r="6168" spans="1:6" hidden="1" x14ac:dyDescent="0.25">
      <c r="A6168" t="s">
        <v>672</v>
      </c>
      <c r="B6168" t="s">
        <v>37</v>
      </c>
      <c r="E6168" s="3">
        <f>HYPERLINK("https://sao.dolgi.msk.ru/account/1404119651/", 1404119651)</f>
        <v>1404119651</v>
      </c>
      <c r="F6168">
        <v>0</v>
      </c>
    </row>
    <row r="6169" spans="1:6" hidden="1" x14ac:dyDescent="0.25">
      <c r="A6169" t="s">
        <v>672</v>
      </c>
      <c r="B6169" t="s">
        <v>38</v>
      </c>
      <c r="E6169" s="3">
        <f>HYPERLINK("https://sao.dolgi.msk.ru/account/1404119678/", 1404119678)</f>
        <v>1404119678</v>
      </c>
      <c r="F6169">
        <v>-6685.61</v>
      </c>
    </row>
    <row r="6170" spans="1:6" hidden="1" x14ac:dyDescent="0.25">
      <c r="A6170" t="s">
        <v>672</v>
      </c>
      <c r="B6170" t="s">
        <v>39</v>
      </c>
      <c r="E6170" s="3">
        <f>HYPERLINK("https://sao.dolgi.msk.ru/account/1404120038/", 1404120038)</f>
        <v>1404120038</v>
      </c>
      <c r="F6170">
        <v>-2834.56</v>
      </c>
    </row>
    <row r="6171" spans="1:6" hidden="1" x14ac:dyDescent="0.25">
      <c r="A6171" t="s">
        <v>672</v>
      </c>
      <c r="B6171" t="s">
        <v>40</v>
      </c>
      <c r="E6171" s="3">
        <f>HYPERLINK("https://sao.dolgi.msk.ru/account/1404119686/", 1404119686)</f>
        <v>1404119686</v>
      </c>
      <c r="F6171">
        <v>0</v>
      </c>
    </row>
    <row r="6172" spans="1:6" x14ac:dyDescent="0.25">
      <c r="A6172" t="s">
        <v>672</v>
      </c>
      <c r="B6172" t="s">
        <v>41</v>
      </c>
      <c r="C6172" s="5" t="str">
        <f>" кв. "&amp;B6172</f>
        <v xml:space="preserve"> кв. 37</v>
      </c>
      <c r="D6172" s="5" t="str">
        <f>CONCATENATE(A6172,C6172)</f>
        <v>Ленинградское шоссе, дом 98 к.2 кв. 37</v>
      </c>
      <c r="E6172" s="3">
        <f>HYPERLINK("https://sao.dolgi.msk.ru/account/1404119854/", 1404119854)</f>
        <v>1404119854</v>
      </c>
      <c r="F6172">
        <v>6116.44</v>
      </c>
    </row>
    <row r="6173" spans="1:6" hidden="1" x14ac:dyDescent="0.25">
      <c r="A6173" t="s">
        <v>672</v>
      </c>
      <c r="B6173" t="s">
        <v>42</v>
      </c>
      <c r="E6173" s="3">
        <f>HYPERLINK("https://sao.dolgi.msk.ru/account/1404119731/", 1404119731)</f>
        <v>1404119731</v>
      </c>
      <c r="F6173">
        <v>0</v>
      </c>
    </row>
    <row r="6174" spans="1:6" hidden="1" x14ac:dyDescent="0.25">
      <c r="A6174" t="s">
        <v>672</v>
      </c>
      <c r="B6174" t="s">
        <v>43</v>
      </c>
      <c r="E6174" s="3">
        <f>HYPERLINK("https://sao.dolgi.msk.ru/account/1404119758/", 1404119758)</f>
        <v>1404119758</v>
      </c>
      <c r="F6174">
        <v>-2350.29</v>
      </c>
    </row>
    <row r="6175" spans="1:6" hidden="1" x14ac:dyDescent="0.25">
      <c r="A6175" t="s">
        <v>672</v>
      </c>
      <c r="B6175" t="s">
        <v>44</v>
      </c>
      <c r="E6175" s="3">
        <f>HYPERLINK("https://sao.dolgi.msk.ru/account/1404119379/", 1404119379)</f>
        <v>1404119379</v>
      </c>
      <c r="F6175">
        <v>-2531.41</v>
      </c>
    </row>
    <row r="6176" spans="1:6" hidden="1" x14ac:dyDescent="0.25">
      <c r="A6176" t="s">
        <v>672</v>
      </c>
      <c r="B6176" t="s">
        <v>45</v>
      </c>
      <c r="E6176" s="3">
        <f>HYPERLINK("https://sao.dolgi.msk.ru/account/1404119483/", 1404119483)</f>
        <v>1404119483</v>
      </c>
      <c r="F6176">
        <v>-11822.84</v>
      </c>
    </row>
    <row r="6177" spans="1:6" hidden="1" x14ac:dyDescent="0.25">
      <c r="A6177" t="s">
        <v>672</v>
      </c>
      <c r="B6177" t="s">
        <v>46</v>
      </c>
      <c r="E6177" s="3">
        <f>HYPERLINK("https://sao.dolgi.msk.ru/account/1404120353/", 1404120353)</f>
        <v>1404120353</v>
      </c>
      <c r="F6177">
        <v>-6432.7</v>
      </c>
    </row>
    <row r="6178" spans="1:6" hidden="1" x14ac:dyDescent="0.25">
      <c r="A6178" t="s">
        <v>672</v>
      </c>
      <c r="B6178" t="s">
        <v>47</v>
      </c>
      <c r="E6178" s="3">
        <f>HYPERLINK("https://sao.dolgi.msk.ru/account/1404119694/", 1404119694)</f>
        <v>1404119694</v>
      </c>
      <c r="F6178">
        <v>0</v>
      </c>
    </row>
    <row r="6179" spans="1:6" hidden="1" x14ac:dyDescent="0.25">
      <c r="A6179" t="s">
        <v>672</v>
      </c>
      <c r="B6179" t="s">
        <v>48</v>
      </c>
      <c r="E6179" s="3">
        <f>HYPERLINK("https://sao.dolgi.msk.ru/account/1404119862/", 1404119862)</f>
        <v>1404119862</v>
      </c>
      <c r="F6179">
        <v>-3647.99</v>
      </c>
    </row>
    <row r="6180" spans="1:6" hidden="1" x14ac:dyDescent="0.25">
      <c r="A6180" t="s">
        <v>672</v>
      </c>
      <c r="B6180" t="s">
        <v>49</v>
      </c>
      <c r="E6180" s="3">
        <f>HYPERLINK("https://sao.dolgi.msk.ru/account/1404119491/", 1404119491)</f>
        <v>1404119491</v>
      </c>
      <c r="F6180">
        <v>-3195.64</v>
      </c>
    </row>
    <row r="6181" spans="1:6" x14ac:dyDescent="0.25">
      <c r="A6181" t="s">
        <v>672</v>
      </c>
      <c r="B6181" t="s">
        <v>50</v>
      </c>
      <c r="C6181" s="5" t="str">
        <f>" кв. "&amp;B6181</f>
        <v xml:space="preserve"> кв. 46</v>
      </c>
      <c r="D6181" s="5" t="str">
        <f>CONCATENATE(A6181,C6181)</f>
        <v>Ленинградское шоссе, дом 98 к.2 кв. 46</v>
      </c>
      <c r="E6181" s="3">
        <f>HYPERLINK("https://sao.dolgi.msk.ru/account/1404119774/", 1404119774)</f>
        <v>1404119774</v>
      </c>
      <c r="F6181">
        <v>4794.09</v>
      </c>
    </row>
    <row r="6182" spans="1:6" hidden="1" x14ac:dyDescent="0.25">
      <c r="A6182" t="s">
        <v>672</v>
      </c>
      <c r="B6182" t="s">
        <v>51</v>
      </c>
      <c r="E6182" s="3">
        <f>HYPERLINK("https://sao.dolgi.msk.ru/account/1404120185/", 1404120185)</f>
        <v>1404120185</v>
      </c>
      <c r="F6182">
        <v>-4067.94</v>
      </c>
    </row>
    <row r="6183" spans="1:6" hidden="1" x14ac:dyDescent="0.25">
      <c r="A6183" t="s">
        <v>672</v>
      </c>
      <c r="B6183" t="s">
        <v>52</v>
      </c>
      <c r="E6183" s="3">
        <f>HYPERLINK("https://sao.dolgi.msk.ru/account/1404119889/", 1404119889)</f>
        <v>1404119889</v>
      </c>
      <c r="F6183">
        <v>0</v>
      </c>
    </row>
    <row r="6184" spans="1:6" hidden="1" x14ac:dyDescent="0.25">
      <c r="A6184" t="s">
        <v>672</v>
      </c>
      <c r="B6184" t="s">
        <v>53</v>
      </c>
      <c r="E6184" s="3">
        <f>HYPERLINK("https://sao.dolgi.msk.ru/account/1404120046/", 1404120046)</f>
        <v>1404120046</v>
      </c>
      <c r="F6184">
        <v>0</v>
      </c>
    </row>
    <row r="6185" spans="1:6" hidden="1" x14ac:dyDescent="0.25">
      <c r="A6185" t="s">
        <v>672</v>
      </c>
      <c r="B6185" t="s">
        <v>54</v>
      </c>
      <c r="E6185" s="3">
        <f>HYPERLINK("https://sao.dolgi.msk.ru/account/1404119504/", 1404119504)</f>
        <v>1404119504</v>
      </c>
      <c r="F6185">
        <v>-4002.23</v>
      </c>
    </row>
    <row r="6186" spans="1:6" x14ac:dyDescent="0.25">
      <c r="A6186" t="s">
        <v>672</v>
      </c>
      <c r="B6186" t="s">
        <v>55</v>
      </c>
      <c r="C6186" s="5" t="str">
        <f>" кв. "&amp;B6186</f>
        <v xml:space="preserve"> кв. 51</v>
      </c>
      <c r="D6186" s="5" t="str">
        <f>CONCATENATE(A6186,C6186)</f>
        <v>Ленинградское шоссе, дом 98 к.2 кв. 51</v>
      </c>
      <c r="E6186" s="3">
        <f>HYPERLINK("https://sao.dolgi.msk.ru/account/1404119985/", 1404119985)</f>
        <v>1404119985</v>
      </c>
      <c r="F6186">
        <v>5289.99</v>
      </c>
    </row>
    <row r="6187" spans="1:6" hidden="1" x14ac:dyDescent="0.25">
      <c r="A6187" t="s">
        <v>672</v>
      </c>
      <c r="B6187" t="s">
        <v>56</v>
      </c>
      <c r="E6187" s="3">
        <f>HYPERLINK("https://sao.dolgi.msk.ru/account/1404119897/", 1404119897)</f>
        <v>1404119897</v>
      </c>
      <c r="F6187">
        <v>-4701.6499999999996</v>
      </c>
    </row>
    <row r="6188" spans="1:6" x14ac:dyDescent="0.25">
      <c r="A6188" t="s">
        <v>672</v>
      </c>
      <c r="B6188" t="s">
        <v>57</v>
      </c>
      <c r="C6188" s="5" t="str">
        <f>" кв. "&amp;B6188</f>
        <v xml:space="preserve"> кв. 53</v>
      </c>
      <c r="D6188" s="5" t="str">
        <f>CONCATENATE(A6188,C6188)</f>
        <v>Ленинградское шоссе, дом 98 к.2 кв. 53</v>
      </c>
      <c r="E6188" s="3">
        <f>HYPERLINK("https://sao.dolgi.msk.ru/account/1404120054/", 1404120054)</f>
        <v>1404120054</v>
      </c>
      <c r="F6188">
        <v>3451.76</v>
      </c>
    </row>
    <row r="6189" spans="1:6" hidden="1" x14ac:dyDescent="0.25">
      <c r="A6189" t="s">
        <v>672</v>
      </c>
      <c r="B6189" t="s">
        <v>58</v>
      </c>
      <c r="E6189" s="3">
        <f>HYPERLINK("https://sao.dolgi.msk.ru/account/1404120361/", 1404120361)</f>
        <v>1404120361</v>
      </c>
      <c r="F6189">
        <v>0</v>
      </c>
    </row>
    <row r="6190" spans="1:6" hidden="1" x14ac:dyDescent="0.25">
      <c r="A6190" t="s">
        <v>672</v>
      </c>
      <c r="B6190" t="s">
        <v>59</v>
      </c>
      <c r="E6190" s="3">
        <f>HYPERLINK("https://sao.dolgi.msk.ru/account/1404120062/", 1404120062)</f>
        <v>1404120062</v>
      </c>
      <c r="F6190">
        <v>-2672.13</v>
      </c>
    </row>
    <row r="6191" spans="1:6" hidden="1" x14ac:dyDescent="0.25">
      <c r="A6191" t="s">
        <v>672</v>
      </c>
      <c r="B6191" t="s">
        <v>60</v>
      </c>
      <c r="E6191" s="3">
        <f>HYPERLINK("https://sao.dolgi.msk.ru/account/1404120193/", 1404120193)</f>
        <v>1404120193</v>
      </c>
      <c r="F6191">
        <v>-1561.24</v>
      </c>
    </row>
    <row r="6192" spans="1:6" hidden="1" x14ac:dyDescent="0.25">
      <c r="A6192" t="s">
        <v>672</v>
      </c>
      <c r="B6192" t="s">
        <v>61</v>
      </c>
      <c r="E6192" s="3">
        <f>HYPERLINK("https://sao.dolgi.msk.ru/account/1404119512/", 1404119512)</f>
        <v>1404119512</v>
      </c>
      <c r="F6192">
        <v>0</v>
      </c>
    </row>
    <row r="6193" spans="1:6" hidden="1" x14ac:dyDescent="0.25">
      <c r="A6193" t="s">
        <v>672</v>
      </c>
      <c r="B6193" t="s">
        <v>62</v>
      </c>
      <c r="E6193" s="3">
        <f>HYPERLINK("https://sao.dolgi.msk.ru/account/1404120206/", 1404120206)</f>
        <v>1404120206</v>
      </c>
      <c r="F6193">
        <v>0</v>
      </c>
    </row>
    <row r="6194" spans="1:6" hidden="1" x14ac:dyDescent="0.25">
      <c r="A6194" t="s">
        <v>672</v>
      </c>
      <c r="B6194" t="s">
        <v>63</v>
      </c>
      <c r="E6194" s="3">
        <f>HYPERLINK("https://sao.dolgi.msk.ru/account/1404120388/", 1404120388)</f>
        <v>1404120388</v>
      </c>
      <c r="F6194">
        <v>-498</v>
      </c>
    </row>
    <row r="6195" spans="1:6" hidden="1" x14ac:dyDescent="0.25">
      <c r="A6195" t="s">
        <v>672</v>
      </c>
      <c r="B6195" t="s">
        <v>64</v>
      </c>
      <c r="E6195" s="3">
        <f>HYPERLINK("https://sao.dolgi.msk.ru/account/1404120089/", 1404120089)</f>
        <v>1404120089</v>
      </c>
      <c r="F6195">
        <v>-5384.97</v>
      </c>
    </row>
    <row r="6196" spans="1:6" hidden="1" x14ac:dyDescent="0.25">
      <c r="A6196" t="s">
        <v>672</v>
      </c>
      <c r="B6196" t="s">
        <v>65</v>
      </c>
      <c r="E6196" s="3">
        <f>HYPERLINK("https://sao.dolgi.msk.ru/account/1404119918/", 1404119918)</f>
        <v>1404119918</v>
      </c>
      <c r="F6196">
        <v>0</v>
      </c>
    </row>
    <row r="6197" spans="1:6" hidden="1" x14ac:dyDescent="0.25">
      <c r="A6197" t="s">
        <v>672</v>
      </c>
      <c r="B6197" t="s">
        <v>66</v>
      </c>
      <c r="E6197" s="3">
        <f>HYPERLINK("https://sao.dolgi.msk.ru/account/1404119926/", 1404119926)</f>
        <v>1404119926</v>
      </c>
      <c r="F6197">
        <v>-4947.17</v>
      </c>
    </row>
    <row r="6198" spans="1:6" hidden="1" x14ac:dyDescent="0.25">
      <c r="A6198" t="s">
        <v>672</v>
      </c>
      <c r="B6198" t="s">
        <v>67</v>
      </c>
      <c r="E6198" s="3">
        <f>HYPERLINK("https://sao.dolgi.msk.ru/account/1404119782/", 1404119782)</f>
        <v>1404119782</v>
      </c>
      <c r="F6198">
        <v>0</v>
      </c>
    </row>
    <row r="6199" spans="1:6" x14ac:dyDescent="0.25">
      <c r="A6199" t="s">
        <v>672</v>
      </c>
      <c r="B6199" t="s">
        <v>68</v>
      </c>
      <c r="C6199" s="5" t="str">
        <f>" кв. "&amp;B6199</f>
        <v xml:space="preserve"> кв. 64</v>
      </c>
      <c r="D6199" s="5" t="str">
        <f>CONCATENATE(A6199,C6199)</f>
        <v>Ленинградское шоссе, дом 98 к.2 кв. 64</v>
      </c>
      <c r="E6199" s="3">
        <f>HYPERLINK("https://sao.dolgi.msk.ru/account/1404119416/", 1404119416)</f>
        <v>1404119416</v>
      </c>
      <c r="F6199">
        <v>3915.85</v>
      </c>
    </row>
    <row r="6200" spans="1:6" hidden="1" x14ac:dyDescent="0.25">
      <c r="A6200" t="s">
        <v>672</v>
      </c>
      <c r="B6200" t="s">
        <v>69</v>
      </c>
      <c r="E6200" s="3">
        <f>HYPERLINK("https://sao.dolgi.msk.ru/account/1404120214/", 1404120214)</f>
        <v>1404120214</v>
      </c>
      <c r="F6200">
        <v>-288.31</v>
      </c>
    </row>
    <row r="6201" spans="1:6" hidden="1" x14ac:dyDescent="0.25">
      <c r="A6201" t="s">
        <v>672</v>
      </c>
      <c r="B6201" t="s">
        <v>70</v>
      </c>
      <c r="E6201" s="3">
        <f>HYPERLINK("https://sao.dolgi.msk.ru/account/1404119934/", 1404119934)</f>
        <v>1404119934</v>
      </c>
      <c r="F6201">
        <v>-3435.28</v>
      </c>
    </row>
    <row r="6202" spans="1:6" x14ac:dyDescent="0.25">
      <c r="A6202" t="s">
        <v>672</v>
      </c>
      <c r="B6202" t="s">
        <v>71</v>
      </c>
      <c r="C6202" s="5" t="str">
        <f>" кв. "&amp;B6202</f>
        <v xml:space="preserve"> кв. 67</v>
      </c>
      <c r="D6202" s="5" t="str">
        <f>CONCATENATE(A6202,C6202)</f>
        <v>Ленинградское шоссе, дом 98 к.2 кв. 67</v>
      </c>
      <c r="E6202" s="3">
        <f>HYPERLINK("https://sao.dolgi.msk.ru/account/1404120222/", 1404120222)</f>
        <v>1404120222</v>
      </c>
      <c r="F6202">
        <v>110.64</v>
      </c>
    </row>
    <row r="6203" spans="1:6" hidden="1" x14ac:dyDescent="0.25">
      <c r="A6203" t="s">
        <v>672</v>
      </c>
      <c r="B6203" t="s">
        <v>72</v>
      </c>
      <c r="E6203" s="3">
        <f>HYPERLINK("https://sao.dolgi.msk.ru/account/1404119539/", 1404119539)</f>
        <v>1404119539</v>
      </c>
      <c r="F6203">
        <v>-2467.9499999999998</v>
      </c>
    </row>
    <row r="6204" spans="1:6" hidden="1" x14ac:dyDescent="0.25">
      <c r="A6204" t="s">
        <v>672</v>
      </c>
      <c r="B6204" t="s">
        <v>73</v>
      </c>
      <c r="E6204" s="3">
        <f>HYPERLINK("https://sao.dolgi.msk.ru/account/1404120249/", 1404120249)</f>
        <v>1404120249</v>
      </c>
      <c r="F6204">
        <v>-2102.58</v>
      </c>
    </row>
    <row r="6205" spans="1:6" hidden="1" x14ac:dyDescent="0.25">
      <c r="A6205" t="s">
        <v>672</v>
      </c>
      <c r="B6205" t="s">
        <v>74</v>
      </c>
      <c r="E6205" s="3">
        <f>HYPERLINK("https://sao.dolgi.msk.ru/account/1404119408/", 1404119408)</f>
        <v>1404119408</v>
      </c>
      <c r="F6205">
        <v>-6488.63</v>
      </c>
    </row>
    <row r="6206" spans="1:6" hidden="1" x14ac:dyDescent="0.25">
      <c r="A6206" t="s">
        <v>672</v>
      </c>
      <c r="B6206" t="s">
        <v>75</v>
      </c>
      <c r="E6206" s="3">
        <f>HYPERLINK("https://sao.dolgi.msk.ru/account/1404120257/", 1404120257)</f>
        <v>1404120257</v>
      </c>
      <c r="F6206">
        <v>-2048.12</v>
      </c>
    </row>
    <row r="6207" spans="1:6" hidden="1" x14ac:dyDescent="0.25">
      <c r="A6207" t="s">
        <v>672</v>
      </c>
      <c r="B6207" t="s">
        <v>76</v>
      </c>
      <c r="E6207" s="3">
        <f>HYPERLINK("https://sao.dolgi.msk.ru/account/1404119942/", 1404119942)</f>
        <v>1404119942</v>
      </c>
      <c r="F6207">
        <v>-1396.23</v>
      </c>
    </row>
    <row r="6208" spans="1:6" hidden="1" x14ac:dyDescent="0.25">
      <c r="A6208" t="s">
        <v>672</v>
      </c>
      <c r="B6208" t="s">
        <v>77</v>
      </c>
      <c r="E6208" s="3">
        <f>HYPERLINK("https://sao.dolgi.msk.ru/account/1404119803/", 1404119803)</f>
        <v>1404119803</v>
      </c>
      <c r="F6208">
        <v>0</v>
      </c>
    </row>
    <row r="6209" spans="1:6" hidden="1" x14ac:dyDescent="0.25">
      <c r="A6209" t="s">
        <v>672</v>
      </c>
      <c r="B6209" t="s">
        <v>78</v>
      </c>
      <c r="E6209" s="3">
        <f>HYPERLINK("https://sao.dolgi.msk.ru/account/1404120097/", 1404120097)</f>
        <v>1404120097</v>
      </c>
      <c r="F6209">
        <v>-5509.98</v>
      </c>
    </row>
    <row r="6210" spans="1:6" hidden="1" x14ac:dyDescent="0.25">
      <c r="A6210" t="s">
        <v>672</v>
      </c>
      <c r="B6210" t="s">
        <v>79</v>
      </c>
      <c r="E6210" s="3">
        <f>HYPERLINK("https://sao.dolgi.msk.ru/account/1404119969/", 1404119969)</f>
        <v>1404119969</v>
      </c>
      <c r="F6210">
        <v>-3411.41</v>
      </c>
    </row>
    <row r="6211" spans="1:6" x14ac:dyDescent="0.25">
      <c r="A6211" t="s">
        <v>672</v>
      </c>
      <c r="B6211" t="s">
        <v>80</v>
      </c>
      <c r="C6211" s="5" t="str">
        <f>" кв. "&amp;B6211</f>
        <v xml:space="preserve"> кв. 76</v>
      </c>
      <c r="D6211" s="5" t="str">
        <f>CONCATENATE(A6211,C6211)</f>
        <v>Ленинградское шоссе, дом 98 к.2 кв. 76</v>
      </c>
      <c r="E6211" s="3">
        <f>HYPERLINK("https://sao.dolgi.msk.ru/account/1404119555/", 1404119555)</f>
        <v>1404119555</v>
      </c>
      <c r="F6211">
        <v>674.46</v>
      </c>
    </row>
    <row r="6212" spans="1:6" hidden="1" x14ac:dyDescent="0.25">
      <c r="A6212" t="s">
        <v>672</v>
      </c>
      <c r="B6212" t="s">
        <v>81</v>
      </c>
      <c r="E6212" s="3">
        <f>HYPERLINK("https://sao.dolgi.msk.ru/account/1404119977/", 1404119977)</f>
        <v>1404119977</v>
      </c>
      <c r="F6212">
        <v>-5357.21</v>
      </c>
    </row>
    <row r="6213" spans="1:6" hidden="1" x14ac:dyDescent="0.25">
      <c r="A6213" t="s">
        <v>672</v>
      </c>
      <c r="B6213" t="s">
        <v>82</v>
      </c>
      <c r="E6213" s="3">
        <f>HYPERLINK("https://sao.dolgi.msk.ru/account/1404119715/", 1404119715)</f>
        <v>1404119715</v>
      </c>
      <c r="F6213">
        <v>0</v>
      </c>
    </row>
    <row r="6214" spans="1:6" hidden="1" x14ac:dyDescent="0.25">
      <c r="A6214" t="s">
        <v>672</v>
      </c>
      <c r="B6214" t="s">
        <v>83</v>
      </c>
      <c r="E6214" s="3">
        <f>HYPERLINK("https://sao.dolgi.msk.ru/account/1404120118/", 1404120118)</f>
        <v>1404120118</v>
      </c>
      <c r="F6214">
        <v>-2205.4</v>
      </c>
    </row>
    <row r="6215" spans="1:6" hidden="1" x14ac:dyDescent="0.25">
      <c r="A6215" t="s">
        <v>672</v>
      </c>
      <c r="B6215" t="s">
        <v>84</v>
      </c>
      <c r="E6215" s="3">
        <f>HYPERLINK("https://sao.dolgi.msk.ru/account/1404120126/", 1404120126)</f>
        <v>1404120126</v>
      </c>
      <c r="F6215">
        <v>-102.15</v>
      </c>
    </row>
    <row r="6216" spans="1:6" hidden="1" x14ac:dyDescent="0.25">
      <c r="A6216" t="s">
        <v>673</v>
      </c>
      <c r="B6216" t="s">
        <v>5</v>
      </c>
      <c r="E6216" s="3">
        <f>HYPERLINK("https://sao.dolgi.msk.ru/account/1404121065/", 1404121065)</f>
        <v>1404121065</v>
      </c>
      <c r="F6216">
        <v>0</v>
      </c>
    </row>
    <row r="6217" spans="1:6" hidden="1" x14ac:dyDescent="0.25">
      <c r="A6217" t="s">
        <v>673</v>
      </c>
      <c r="B6217" t="s">
        <v>6</v>
      </c>
      <c r="E6217" s="3">
        <f>HYPERLINK("https://sao.dolgi.msk.ru/account/1404120644/", 1404120644)</f>
        <v>1404120644</v>
      </c>
      <c r="F6217">
        <v>-3593.67</v>
      </c>
    </row>
    <row r="6218" spans="1:6" hidden="1" x14ac:dyDescent="0.25">
      <c r="A6218" t="s">
        <v>673</v>
      </c>
      <c r="B6218" t="s">
        <v>7</v>
      </c>
      <c r="E6218" s="3">
        <f>HYPERLINK("https://sao.dolgi.msk.ru/account/1404120679/", 1404120679)</f>
        <v>1404120679</v>
      </c>
      <c r="F6218">
        <v>-5237.21</v>
      </c>
    </row>
    <row r="6219" spans="1:6" hidden="1" x14ac:dyDescent="0.25">
      <c r="A6219" t="s">
        <v>673</v>
      </c>
      <c r="B6219" t="s">
        <v>8</v>
      </c>
      <c r="E6219" s="3">
        <f>HYPERLINK("https://sao.dolgi.msk.ru/account/1404121217/", 1404121217)</f>
        <v>1404121217</v>
      </c>
      <c r="F6219">
        <v>-2679.01</v>
      </c>
    </row>
    <row r="6220" spans="1:6" hidden="1" x14ac:dyDescent="0.25">
      <c r="A6220" t="s">
        <v>673</v>
      </c>
      <c r="B6220" t="s">
        <v>9</v>
      </c>
      <c r="E6220" s="3">
        <f>HYPERLINK("https://sao.dolgi.msk.ru/account/1404120716/", 1404120716)</f>
        <v>1404120716</v>
      </c>
      <c r="F6220">
        <v>-4690.51</v>
      </c>
    </row>
    <row r="6221" spans="1:6" hidden="1" x14ac:dyDescent="0.25">
      <c r="A6221" t="s">
        <v>673</v>
      </c>
      <c r="B6221" t="s">
        <v>10</v>
      </c>
      <c r="E6221" s="3">
        <f>HYPERLINK("https://sao.dolgi.msk.ru/account/1404120599/", 1404120599)</f>
        <v>1404120599</v>
      </c>
      <c r="F6221">
        <v>-1550.42</v>
      </c>
    </row>
    <row r="6222" spans="1:6" hidden="1" x14ac:dyDescent="0.25">
      <c r="A6222" t="s">
        <v>673</v>
      </c>
      <c r="B6222" t="s">
        <v>11</v>
      </c>
      <c r="E6222" s="3">
        <f>HYPERLINK("https://sao.dolgi.msk.ru/account/1404120505/", 1404120505)</f>
        <v>1404120505</v>
      </c>
      <c r="F6222">
        <v>0</v>
      </c>
    </row>
    <row r="6223" spans="1:6" hidden="1" x14ac:dyDescent="0.25">
      <c r="A6223" t="s">
        <v>673</v>
      </c>
      <c r="B6223" t="s">
        <v>12</v>
      </c>
      <c r="E6223" s="3">
        <f>HYPERLINK("https://sao.dolgi.msk.ru/account/1404121241/", 1404121241)</f>
        <v>1404121241</v>
      </c>
      <c r="F6223">
        <v>-2712.63</v>
      </c>
    </row>
    <row r="6224" spans="1:6" hidden="1" x14ac:dyDescent="0.25">
      <c r="A6224" t="s">
        <v>673</v>
      </c>
      <c r="B6224" t="s">
        <v>13</v>
      </c>
      <c r="E6224" s="3">
        <f>HYPERLINK("https://sao.dolgi.msk.ru/account/1404120871/", 1404120871)</f>
        <v>1404120871</v>
      </c>
      <c r="F6224">
        <v>-1470.5</v>
      </c>
    </row>
    <row r="6225" spans="1:6" hidden="1" x14ac:dyDescent="0.25">
      <c r="A6225" t="s">
        <v>673</v>
      </c>
      <c r="B6225" t="s">
        <v>14</v>
      </c>
      <c r="E6225" s="3">
        <f>HYPERLINK("https://sao.dolgi.msk.ru/account/1404121188/", 1404121188)</f>
        <v>1404121188</v>
      </c>
      <c r="F6225">
        <v>-3878.15</v>
      </c>
    </row>
    <row r="6226" spans="1:6" hidden="1" x14ac:dyDescent="0.25">
      <c r="A6226" t="s">
        <v>673</v>
      </c>
      <c r="B6226" t="s">
        <v>15</v>
      </c>
      <c r="E6226" s="3">
        <f>HYPERLINK("https://sao.dolgi.msk.ru/account/1404120775/", 1404120775)</f>
        <v>1404120775</v>
      </c>
      <c r="F6226">
        <v>-5706.4</v>
      </c>
    </row>
    <row r="6227" spans="1:6" hidden="1" x14ac:dyDescent="0.25">
      <c r="A6227" t="s">
        <v>673</v>
      </c>
      <c r="B6227" t="s">
        <v>16</v>
      </c>
      <c r="E6227" s="3">
        <f>HYPERLINK("https://sao.dolgi.msk.ru/account/1404120898/", 1404120898)</f>
        <v>1404120898</v>
      </c>
      <c r="F6227">
        <v>-6118.89</v>
      </c>
    </row>
    <row r="6228" spans="1:6" hidden="1" x14ac:dyDescent="0.25">
      <c r="A6228" t="s">
        <v>673</v>
      </c>
      <c r="B6228" t="s">
        <v>17</v>
      </c>
      <c r="E6228" s="3">
        <f>HYPERLINK("https://sao.dolgi.msk.ru/account/1404121196/", 1404121196)</f>
        <v>1404121196</v>
      </c>
      <c r="F6228">
        <v>0</v>
      </c>
    </row>
    <row r="6229" spans="1:6" hidden="1" x14ac:dyDescent="0.25">
      <c r="A6229" t="s">
        <v>673</v>
      </c>
      <c r="B6229" t="s">
        <v>18</v>
      </c>
      <c r="E6229" s="3">
        <f>HYPERLINK("https://sao.dolgi.msk.ru/account/1404120396/", 1404120396)</f>
        <v>1404120396</v>
      </c>
      <c r="F6229">
        <v>-2929.4</v>
      </c>
    </row>
    <row r="6230" spans="1:6" hidden="1" x14ac:dyDescent="0.25">
      <c r="A6230" t="s">
        <v>673</v>
      </c>
      <c r="B6230" t="s">
        <v>19</v>
      </c>
      <c r="E6230" s="3">
        <f>HYPERLINK("https://sao.dolgi.msk.ru/account/1404121276/", 1404121276)</f>
        <v>1404121276</v>
      </c>
      <c r="F6230">
        <v>-5845.78</v>
      </c>
    </row>
    <row r="6231" spans="1:6" hidden="1" x14ac:dyDescent="0.25">
      <c r="A6231" t="s">
        <v>673</v>
      </c>
      <c r="B6231" t="s">
        <v>20</v>
      </c>
      <c r="E6231" s="3">
        <f>HYPERLINK("https://sao.dolgi.msk.ru/account/1404121284/", 1404121284)</f>
        <v>1404121284</v>
      </c>
      <c r="F6231">
        <v>-6390.76</v>
      </c>
    </row>
    <row r="6232" spans="1:6" hidden="1" x14ac:dyDescent="0.25">
      <c r="A6232" t="s">
        <v>673</v>
      </c>
      <c r="B6232" t="s">
        <v>21</v>
      </c>
      <c r="E6232" s="3">
        <f>HYPERLINK("https://sao.dolgi.msk.ru/account/1404121073/", 1404121073)</f>
        <v>1404121073</v>
      </c>
      <c r="F6232">
        <v>0</v>
      </c>
    </row>
    <row r="6233" spans="1:6" hidden="1" x14ac:dyDescent="0.25">
      <c r="A6233" t="s">
        <v>673</v>
      </c>
      <c r="B6233" t="s">
        <v>22</v>
      </c>
      <c r="E6233" s="3">
        <f>HYPERLINK("https://sao.dolgi.msk.ru/account/1404120409/", 1404120409)</f>
        <v>1404120409</v>
      </c>
      <c r="F6233">
        <v>-396.18</v>
      </c>
    </row>
    <row r="6234" spans="1:6" x14ac:dyDescent="0.25">
      <c r="A6234" t="s">
        <v>673</v>
      </c>
      <c r="B6234" t="s">
        <v>23</v>
      </c>
      <c r="C6234" s="5" t="str">
        <f>" кв. "&amp;B6234</f>
        <v xml:space="preserve"> кв. 19</v>
      </c>
      <c r="D6234" s="5" t="str">
        <f>CONCATENATE(A6234,C6234)</f>
        <v>Ленинградское шоссе, дом 98 к.4 кв. 19</v>
      </c>
      <c r="E6234" s="3">
        <f>HYPERLINK("https://sao.dolgi.msk.ru/account/1404120636/", 1404120636)</f>
        <v>1404120636</v>
      </c>
      <c r="F6234">
        <v>21875.62</v>
      </c>
    </row>
    <row r="6235" spans="1:6" hidden="1" x14ac:dyDescent="0.25">
      <c r="A6235" t="s">
        <v>673</v>
      </c>
      <c r="B6235" t="s">
        <v>24</v>
      </c>
      <c r="E6235" s="3">
        <f>HYPERLINK("https://sao.dolgi.msk.ru/account/1404120919/", 1404120919)</f>
        <v>1404120919</v>
      </c>
      <c r="F6235">
        <v>0</v>
      </c>
    </row>
    <row r="6236" spans="1:6" hidden="1" x14ac:dyDescent="0.25">
      <c r="A6236" t="s">
        <v>673</v>
      </c>
      <c r="B6236" t="s">
        <v>25</v>
      </c>
      <c r="E6236" s="3">
        <f>HYPERLINK("https://sao.dolgi.msk.ru/account/1404120652/", 1404120652)</f>
        <v>1404120652</v>
      </c>
      <c r="F6236">
        <v>0</v>
      </c>
    </row>
    <row r="6237" spans="1:6" x14ac:dyDescent="0.25">
      <c r="A6237" t="s">
        <v>673</v>
      </c>
      <c r="B6237" t="s">
        <v>26</v>
      </c>
      <c r="C6237" s="5" t="str">
        <f t="shared" ref="C6237:C6238" si="263">" кв. "&amp;B6237</f>
        <v xml:space="preserve"> кв. 22</v>
      </c>
      <c r="D6237" s="5" t="str">
        <f>CONCATENATE(A6237,C6237)</f>
        <v>Ленинградское шоссе, дом 98 к.4 кв. 22</v>
      </c>
      <c r="E6237" s="3">
        <f>HYPERLINK("https://sao.dolgi.msk.ru/account/1404120521/", 1404120521)</f>
        <v>1404120521</v>
      </c>
      <c r="F6237">
        <v>77319.38</v>
      </c>
    </row>
    <row r="6238" spans="1:6" x14ac:dyDescent="0.25">
      <c r="A6238" t="s">
        <v>673</v>
      </c>
      <c r="B6238" t="s">
        <v>27</v>
      </c>
      <c r="C6238" s="5" t="str">
        <f t="shared" si="263"/>
        <v xml:space="preserve"> кв. 23</v>
      </c>
      <c r="D6238" s="5" t="str">
        <f>CONCATENATE(A6238,C6238)</f>
        <v>Ленинградское шоссе, дом 98 к.4 кв. 23</v>
      </c>
      <c r="E6238" s="3">
        <f>HYPERLINK("https://sao.dolgi.msk.ru/account/1404120927/", 1404120927)</f>
        <v>1404120927</v>
      </c>
      <c r="F6238">
        <v>5229.4799999999996</v>
      </c>
    </row>
    <row r="6239" spans="1:6" hidden="1" x14ac:dyDescent="0.25">
      <c r="A6239" t="s">
        <v>673</v>
      </c>
      <c r="B6239" t="s">
        <v>28</v>
      </c>
      <c r="E6239" s="3">
        <f>HYPERLINK("https://sao.dolgi.msk.ru/account/1404121292/", 1404121292)</f>
        <v>1404121292</v>
      </c>
      <c r="F6239">
        <v>-2597.73</v>
      </c>
    </row>
    <row r="6240" spans="1:6" hidden="1" x14ac:dyDescent="0.25">
      <c r="A6240" t="s">
        <v>673</v>
      </c>
      <c r="B6240" t="s">
        <v>29</v>
      </c>
      <c r="E6240" s="3">
        <f>HYPERLINK("https://sao.dolgi.msk.ru/account/1404121305/", 1404121305)</f>
        <v>1404121305</v>
      </c>
      <c r="F6240">
        <v>-121.53</v>
      </c>
    </row>
    <row r="6241" spans="1:6" hidden="1" x14ac:dyDescent="0.25">
      <c r="A6241" t="s">
        <v>673</v>
      </c>
      <c r="B6241" t="s">
        <v>30</v>
      </c>
      <c r="E6241" s="3">
        <f>HYPERLINK("https://sao.dolgi.msk.ru/account/1404120548/", 1404120548)</f>
        <v>1404120548</v>
      </c>
      <c r="F6241">
        <v>0</v>
      </c>
    </row>
    <row r="6242" spans="1:6" hidden="1" x14ac:dyDescent="0.25">
      <c r="A6242" t="s">
        <v>673</v>
      </c>
      <c r="B6242" t="s">
        <v>31</v>
      </c>
      <c r="E6242" s="3">
        <f>HYPERLINK("https://sao.dolgi.msk.ru/account/1404120556/", 1404120556)</f>
        <v>1404120556</v>
      </c>
      <c r="F6242">
        <v>-6120.25</v>
      </c>
    </row>
    <row r="6243" spans="1:6" hidden="1" x14ac:dyDescent="0.25">
      <c r="A6243" t="s">
        <v>673</v>
      </c>
      <c r="B6243" t="s">
        <v>32</v>
      </c>
      <c r="E6243" s="3">
        <f>HYPERLINK("https://sao.dolgi.msk.ru/account/1404121209/", 1404121209)</f>
        <v>1404121209</v>
      </c>
      <c r="F6243">
        <v>0</v>
      </c>
    </row>
    <row r="6244" spans="1:6" hidden="1" x14ac:dyDescent="0.25">
      <c r="A6244" t="s">
        <v>673</v>
      </c>
      <c r="B6244" t="s">
        <v>33</v>
      </c>
      <c r="E6244" s="3">
        <f>HYPERLINK("https://sao.dolgi.msk.ru/account/1404120417/", 1404120417)</f>
        <v>1404120417</v>
      </c>
      <c r="F6244">
        <v>0</v>
      </c>
    </row>
    <row r="6245" spans="1:6" hidden="1" x14ac:dyDescent="0.25">
      <c r="A6245" t="s">
        <v>673</v>
      </c>
      <c r="B6245" t="s">
        <v>34</v>
      </c>
      <c r="E6245" s="3">
        <f>HYPERLINK("https://sao.dolgi.msk.ru/account/1404120687/", 1404120687)</f>
        <v>1404120687</v>
      </c>
      <c r="F6245">
        <v>0</v>
      </c>
    </row>
    <row r="6246" spans="1:6" hidden="1" x14ac:dyDescent="0.25">
      <c r="A6246" t="s">
        <v>673</v>
      </c>
      <c r="B6246" t="s">
        <v>35</v>
      </c>
      <c r="E6246" s="3">
        <f>HYPERLINK("https://sao.dolgi.msk.ru/account/1404120695/", 1404120695)</f>
        <v>1404120695</v>
      </c>
      <c r="F6246">
        <v>-6570.6</v>
      </c>
    </row>
    <row r="6247" spans="1:6" hidden="1" x14ac:dyDescent="0.25">
      <c r="A6247" t="s">
        <v>673</v>
      </c>
      <c r="B6247" t="s">
        <v>36</v>
      </c>
      <c r="E6247" s="3">
        <f>HYPERLINK("https://sao.dolgi.msk.ru/account/1404120935/", 1404120935)</f>
        <v>1404120935</v>
      </c>
      <c r="F6247">
        <v>-5513.89</v>
      </c>
    </row>
    <row r="6248" spans="1:6" hidden="1" x14ac:dyDescent="0.25">
      <c r="A6248" t="s">
        <v>673</v>
      </c>
      <c r="B6248" t="s">
        <v>37</v>
      </c>
      <c r="E6248" s="3">
        <f>HYPERLINK("https://sao.dolgi.msk.ru/account/1404120943/", 1404120943)</f>
        <v>1404120943</v>
      </c>
      <c r="F6248">
        <v>-1814.76</v>
      </c>
    </row>
    <row r="6249" spans="1:6" hidden="1" x14ac:dyDescent="0.25">
      <c r="A6249" t="s">
        <v>673</v>
      </c>
      <c r="B6249" t="s">
        <v>38</v>
      </c>
      <c r="E6249" s="3">
        <f>HYPERLINK("https://sao.dolgi.msk.ru/account/1404120564/", 1404120564)</f>
        <v>1404120564</v>
      </c>
      <c r="F6249">
        <v>-1261.8800000000001</v>
      </c>
    </row>
    <row r="6250" spans="1:6" hidden="1" x14ac:dyDescent="0.25">
      <c r="A6250" t="s">
        <v>673</v>
      </c>
      <c r="B6250" t="s">
        <v>39</v>
      </c>
      <c r="E6250" s="3">
        <f>HYPERLINK("https://sao.dolgi.msk.ru/account/1404120951/", 1404120951)</f>
        <v>1404120951</v>
      </c>
      <c r="F6250">
        <v>-4593.76</v>
      </c>
    </row>
    <row r="6251" spans="1:6" hidden="1" x14ac:dyDescent="0.25">
      <c r="A6251" t="s">
        <v>673</v>
      </c>
      <c r="B6251" t="s">
        <v>40</v>
      </c>
      <c r="E6251" s="3">
        <f>HYPERLINK("https://sao.dolgi.msk.ru/account/1404120708/", 1404120708)</f>
        <v>1404120708</v>
      </c>
      <c r="F6251">
        <v>-2651.33</v>
      </c>
    </row>
    <row r="6252" spans="1:6" hidden="1" x14ac:dyDescent="0.25">
      <c r="A6252" t="s">
        <v>673</v>
      </c>
      <c r="B6252" t="s">
        <v>41</v>
      </c>
      <c r="E6252" s="3">
        <f>HYPERLINK("https://sao.dolgi.msk.ru/account/1404120978/", 1404120978)</f>
        <v>1404120978</v>
      </c>
      <c r="F6252">
        <v>-6536.86</v>
      </c>
    </row>
    <row r="6253" spans="1:6" hidden="1" x14ac:dyDescent="0.25">
      <c r="A6253" t="s">
        <v>673</v>
      </c>
      <c r="B6253" t="s">
        <v>42</v>
      </c>
      <c r="E6253" s="3">
        <f>HYPERLINK("https://sao.dolgi.msk.ru/account/1404120425/", 1404120425)</f>
        <v>1404120425</v>
      </c>
      <c r="F6253">
        <v>0</v>
      </c>
    </row>
    <row r="6254" spans="1:6" x14ac:dyDescent="0.25">
      <c r="A6254" t="s">
        <v>673</v>
      </c>
      <c r="B6254" t="s">
        <v>43</v>
      </c>
      <c r="C6254" s="5" t="str">
        <f>" кв. "&amp;B6254</f>
        <v xml:space="preserve"> кв. 39</v>
      </c>
      <c r="D6254" s="5" t="str">
        <f>CONCATENATE(A6254,C6254)</f>
        <v>Ленинградское шоссе, дом 98 к.4 кв. 39</v>
      </c>
      <c r="E6254" s="3">
        <f>HYPERLINK("https://sao.dolgi.msk.ru/account/1404120986/", 1404120986)</f>
        <v>1404120986</v>
      </c>
      <c r="F6254">
        <v>27865.54</v>
      </c>
    </row>
    <row r="6255" spans="1:6" hidden="1" x14ac:dyDescent="0.25">
      <c r="A6255" t="s">
        <v>673</v>
      </c>
      <c r="B6255" t="s">
        <v>44</v>
      </c>
      <c r="E6255" s="3">
        <f>HYPERLINK("https://sao.dolgi.msk.ru/account/1404120433/", 1404120433)</f>
        <v>1404120433</v>
      </c>
      <c r="F6255">
        <v>0</v>
      </c>
    </row>
    <row r="6256" spans="1:6" hidden="1" x14ac:dyDescent="0.25">
      <c r="A6256" t="s">
        <v>673</v>
      </c>
      <c r="B6256" t="s">
        <v>45</v>
      </c>
      <c r="E6256" s="3">
        <f>HYPERLINK("https://sao.dolgi.msk.ru/account/1404120783/", 1404120783)</f>
        <v>1404120783</v>
      </c>
      <c r="F6256">
        <v>-4283.99</v>
      </c>
    </row>
    <row r="6257" spans="1:6" hidden="1" x14ac:dyDescent="0.25">
      <c r="A6257" t="s">
        <v>673</v>
      </c>
      <c r="B6257" t="s">
        <v>46</v>
      </c>
      <c r="E6257" s="3">
        <f>HYPERLINK("https://sao.dolgi.msk.ru/account/1404120572/", 1404120572)</f>
        <v>1404120572</v>
      </c>
      <c r="F6257">
        <v>0</v>
      </c>
    </row>
    <row r="6258" spans="1:6" hidden="1" x14ac:dyDescent="0.25">
      <c r="A6258" t="s">
        <v>673</v>
      </c>
      <c r="B6258" t="s">
        <v>47</v>
      </c>
      <c r="E6258" s="3">
        <f>HYPERLINK("https://sao.dolgi.msk.ru/account/1404120441/", 1404120441)</f>
        <v>1404120441</v>
      </c>
      <c r="F6258">
        <v>-5535.11</v>
      </c>
    </row>
    <row r="6259" spans="1:6" hidden="1" x14ac:dyDescent="0.25">
      <c r="A6259" t="s">
        <v>673</v>
      </c>
      <c r="B6259" t="s">
        <v>48</v>
      </c>
      <c r="E6259" s="3">
        <f>HYPERLINK("https://sao.dolgi.msk.ru/account/1404121313/", 1404121313)</f>
        <v>1404121313</v>
      </c>
      <c r="F6259">
        <v>-2766.98</v>
      </c>
    </row>
    <row r="6260" spans="1:6" x14ac:dyDescent="0.25">
      <c r="A6260" t="s">
        <v>673</v>
      </c>
      <c r="B6260" t="s">
        <v>49</v>
      </c>
      <c r="C6260" s="5" t="str">
        <f>" кв. "&amp;B6260</f>
        <v xml:space="preserve"> кв. 45</v>
      </c>
      <c r="D6260" s="5" t="str">
        <f>CONCATENATE(A6260,C6260)</f>
        <v>Ленинградское шоссе, дом 98 к.4 кв. 45</v>
      </c>
      <c r="E6260" s="3">
        <f>HYPERLINK("https://sao.dolgi.msk.ru/account/1404120791/", 1404120791)</f>
        <v>1404120791</v>
      </c>
      <c r="F6260">
        <v>3412.88</v>
      </c>
    </row>
    <row r="6261" spans="1:6" hidden="1" x14ac:dyDescent="0.25">
      <c r="A6261" t="s">
        <v>673</v>
      </c>
      <c r="B6261" t="s">
        <v>50</v>
      </c>
      <c r="E6261" s="3">
        <f>HYPERLINK("https://sao.dolgi.msk.ru/account/1404120994/", 1404120994)</f>
        <v>1404120994</v>
      </c>
      <c r="F6261">
        <v>-3516.48</v>
      </c>
    </row>
    <row r="6262" spans="1:6" x14ac:dyDescent="0.25">
      <c r="A6262" t="s">
        <v>673</v>
      </c>
      <c r="B6262" t="s">
        <v>51</v>
      </c>
      <c r="C6262" s="5" t="str">
        <f>" кв. "&amp;B6262</f>
        <v xml:space="preserve"> кв. 47</v>
      </c>
      <c r="D6262" s="5" t="str">
        <f>CONCATENATE(A6262,C6262)</f>
        <v>Ленинградское шоссе, дом 98 к.4 кв. 47</v>
      </c>
      <c r="E6262" s="3">
        <f>HYPERLINK("https://sao.dolgi.msk.ru/account/1404121081/", 1404121081)</f>
        <v>1404121081</v>
      </c>
      <c r="F6262">
        <v>5890.3</v>
      </c>
    </row>
    <row r="6263" spans="1:6" hidden="1" x14ac:dyDescent="0.25">
      <c r="A6263" t="s">
        <v>673</v>
      </c>
      <c r="B6263" t="s">
        <v>52</v>
      </c>
      <c r="E6263" s="3">
        <f>HYPERLINK("https://sao.dolgi.msk.ru/account/1404121102/", 1404121102)</f>
        <v>1404121102</v>
      </c>
      <c r="F6263">
        <v>-3971.01</v>
      </c>
    </row>
    <row r="6264" spans="1:6" hidden="1" x14ac:dyDescent="0.25">
      <c r="A6264" t="s">
        <v>673</v>
      </c>
      <c r="B6264" t="s">
        <v>53</v>
      </c>
      <c r="E6264" s="3">
        <f>HYPERLINK("https://sao.dolgi.msk.ru/account/1404121225/", 1404121225)</f>
        <v>1404121225</v>
      </c>
      <c r="F6264">
        <v>-4740.58</v>
      </c>
    </row>
    <row r="6265" spans="1:6" hidden="1" x14ac:dyDescent="0.25">
      <c r="A6265" t="s">
        <v>673</v>
      </c>
      <c r="B6265" t="s">
        <v>54</v>
      </c>
      <c r="E6265" s="3">
        <f>HYPERLINK("https://sao.dolgi.msk.ru/account/1404120724/", 1404120724)</f>
        <v>1404120724</v>
      </c>
      <c r="F6265">
        <v>0</v>
      </c>
    </row>
    <row r="6266" spans="1:6" hidden="1" x14ac:dyDescent="0.25">
      <c r="A6266" t="s">
        <v>673</v>
      </c>
      <c r="B6266" t="s">
        <v>55</v>
      </c>
      <c r="E6266" s="3">
        <f>HYPERLINK("https://sao.dolgi.msk.ru/account/1404121129/", 1404121129)</f>
        <v>1404121129</v>
      </c>
      <c r="F6266">
        <v>-3765.73</v>
      </c>
    </row>
    <row r="6267" spans="1:6" hidden="1" x14ac:dyDescent="0.25">
      <c r="A6267" t="s">
        <v>673</v>
      </c>
      <c r="B6267" t="s">
        <v>56</v>
      </c>
      <c r="E6267" s="3">
        <f>HYPERLINK("https://sao.dolgi.msk.ru/account/1404121137/", 1404121137)</f>
        <v>1404121137</v>
      </c>
      <c r="F6267">
        <v>-1874</v>
      </c>
    </row>
    <row r="6268" spans="1:6" hidden="1" x14ac:dyDescent="0.25">
      <c r="A6268" t="s">
        <v>673</v>
      </c>
      <c r="B6268" t="s">
        <v>57</v>
      </c>
      <c r="E6268" s="3">
        <f>HYPERLINK("https://sao.dolgi.msk.ru/account/1404120468/", 1404120468)</f>
        <v>1404120468</v>
      </c>
      <c r="F6268">
        <v>-4375.59</v>
      </c>
    </row>
    <row r="6269" spans="1:6" hidden="1" x14ac:dyDescent="0.25">
      <c r="A6269" t="s">
        <v>673</v>
      </c>
      <c r="B6269" t="s">
        <v>58</v>
      </c>
      <c r="E6269" s="3">
        <f>HYPERLINK("https://sao.dolgi.msk.ru/account/1404120476/", 1404120476)</f>
        <v>1404120476</v>
      </c>
      <c r="F6269">
        <v>-5931</v>
      </c>
    </row>
    <row r="6270" spans="1:6" hidden="1" x14ac:dyDescent="0.25">
      <c r="A6270" t="s">
        <v>673</v>
      </c>
      <c r="B6270" t="s">
        <v>59</v>
      </c>
      <c r="E6270" s="3">
        <f>HYPERLINK("https://sao.dolgi.msk.ru/account/1404120804/", 1404120804)</f>
        <v>1404120804</v>
      </c>
      <c r="F6270">
        <v>0</v>
      </c>
    </row>
    <row r="6271" spans="1:6" hidden="1" x14ac:dyDescent="0.25">
      <c r="A6271" t="s">
        <v>673</v>
      </c>
      <c r="B6271" t="s">
        <v>60</v>
      </c>
      <c r="E6271" s="3">
        <f>HYPERLINK("https://sao.dolgi.msk.ru/account/1404121145/", 1404121145)</f>
        <v>1404121145</v>
      </c>
      <c r="F6271">
        <v>-2038.78</v>
      </c>
    </row>
    <row r="6272" spans="1:6" hidden="1" x14ac:dyDescent="0.25">
      <c r="A6272" t="s">
        <v>673</v>
      </c>
      <c r="B6272" t="s">
        <v>61</v>
      </c>
      <c r="E6272" s="3">
        <f>HYPERLINK("https://sao.dolgi.msk.ru/account/1404120812/", 1404120812)</f>
        <v>1404120812</v>
      </c>
      <c r="F6272">
        <v>-4173.1000000000004</v>
      </c>
    </row>
    <row r="6273" spans="1:6" hidden="1" x14ac:dyDescent="0.25">
      <c r="A6273" t="s">
        <v>673</v>
      </c>
      <c r="B6273" t="s">
        <v>62</v>
      </c>
      <c r="E6273" s="3">
        <f>HYPERLINK("https://sao.dolgi.msk.ru/account/1404120839/", 1404120839)</f>
        <v>1404120839</v>
      </c>
      <c r="F6273">
        <v>-3129.6</v>
      </c>
    </row>
    <row r="6274" spans="1:6" hidden="1" x14ac:dyDescent="0.25">
      <c r="A6274" t="s">
        <v>673</v>
      </c>
      <c r="B6274" t="s">
        <v>63</v>
      </c>
      <c r="E6274" s="3">
        <f>HYPERLINK("https://sao.dolgi.msk.ru/account/1404121233/", 1404121233)</f>
        <v>1404121233</v>
      </c>
      <c r="F6274">
        <v>0</v>
      </c>
    </row>
    <row r="6275" spans="1:6" hidden="1" x14ac:dyDescent="0.25">
      <c r="A6275" t="s">
        <v>673</v>
      </c>
      <c r="B6275" t="s">
        <v>64</v>
      </c>
      <c r="E6275" s="3">
        <f>HYPERLINK("https://sao.dolgi.msk.ru/account/1404121006/", 1404121006)</f>
        <v>1404121006</v>
      </c>
      <c r="F6275">
        <v>-4167.8500000000004</v>
      </c>
    </row>
    <row r="6276" spans="1:6" hidden="1" x14ac:dyDescent="0.25">
      <c r="A6276" t="s">
        <v>673</v>
      </c>
      <c r="B6276" t="s">
        <v>65</v>
      </c>
      <c r="E6276" s="3">
        <f>HYPERLINK("https://sao.dolgi.msk.ru/account/1404120847/", 1404120847)</f>
        <v>1404120847</v>
      </c>
      <c r="F6276">
        <v>-2690.65</v>
      </c>
    </row>
    <row r="6277" spans="1:6" hidden="1" x14ac:dyDescent="0.25">
      <c r="A6277" t="s">
        <v>673</v>
      </c>
      <c r="B6277" t="s">
        <v>66</v>
      </c>
      <c r="E6277" s="3">
        <f>HYPERLINK("https://sao.dolgi.msk.ru/account/1404120855/", 1404120855)</f>
        <v>1404120855</v>
      </c>
      <c r="F6277">
        <v>0</v>
      </c>
    </row>
    <row r="6278" spans="1:6" hidden="1" x14ac:dyDescent="0.25">
      <c r="A6278" t="s">
        <v>673</v>
      </c>
      <c r="B6278" t="s">
        <v>67</v>
      </c>
      <c r="E6278" s="3">
        <f>HYPERLINK("https://sao.dolgi.msk.ru/account/1404120863/", 1404120863)</f>
        <v>1404120863</v>
      </c>
      <c r="F6278">
        <v>-5657.63</v>
      </c>
    </row>
    <row r="6279" spans="1:6" hidden="1" x14ac:dyDescent="0.25">
      <c r="A6279" t="s">
        <v>673</v>
      </c>
      <c r="B6279" t="s">
        <v>68</v>
      </c>
      <c r="E6279" s="3">
        <f>HYPERLINK("https://sao.dolgi.msk.ru/account/1404120732/", 1404120732)</f>
        <v>1404120732</v>
      </c>
      <c r="F6279">
        <v>-4653.97</v>
      </c>
    </row>
    <row r="6280" spans="1:6" hidden="1" x14ac:dyDescent="0.25">
      <c r="A6280" t="s">
        <v>673</v>
      </c>
      <c r="B6280" t="s">
        <v>69</v>
      </c>
      <c r="E6280" s="3">
        <f>HYPERLINK("https://sao.dolgi.msk.ru/account/1404120484/", 1404120484)</f>
        <v>1404120484</v>
      </c>
      <c r="F6280">
        <v>-3491.57</v>
      </c>
    </row>
    <row r="6281" spans="1:6" hidden="1" x14ac:dyDescent="0.25">
      <c r="A6281" t="s">
        <v>673</v>
      </c>
      <c r="B6281" t="s">
        <v>70</v>
      </c>
      <c r="E6281" s="3">
        <f>HYPERLINK("https://sao.dolgi.msk.ru/account/1404121014/", 1404121014)</f>
        <v>1404121014</v>
      </c>
      <c r="F6281">
        <v>-4924.53</v>
      </c>
    </row>
    <row r="6282" spans="1:6" hidden="1" x14ac:dyDescent="0.25">
      <c r="A6282" t="s">
        <v>673</v>
      </c>
      <c r="B6282" t="s">
        <v>71</v>
      </c>
      <c r="E6282" s="3">
        <f>HYPERLINK("https://sao.dolgi.msk.ru/account/1404121153/", 1404121153)</f>
        <v>1404121153</v>
      </c>
      <c r="F6282">
        <v>-2335.35</v>
      </c>
    </row>
    <row r="6283" spans="1:6" hidden="1" x14ac:dyDescent="0.25">
      <c r="A6283" t="s">
        <v>673</v>
      </c>
      <c r="B6283" t="s">
        <v>72</v>
      </c>
      <c r="E6283" s="3">
        <f>HYPERLINK("https://sao.dolgi.msk.ru/account/1404121321/", 1404121321)</f>
        <v>1404121321</v>
      </c>
      <c r="F6283">
        <v>-1628.72</v>
      </c>
    </row>
    <row r="6284" spans="1:6" hidden="1" x14ac:dyDescent="0.25">
      <c r="A6284" t="s">
        <v>673</v>
      </c>
      <c r="B6284" t="s">
        <v>73</v>
      </c>
      <c r="E6284" s="3">
        <f>HYPERLINK("https://sao.dolgi.msk.ru/account/1404120492/", 1404120492)</f>
        <v>1404120492</v>
      </c>
      <c r="F6284">
        <v>-4333.38</v>
      </c>
    </row>
    <row r="6285" spans="1:6" hidden="1" x14ac:dyDescent="0.25">
      <c r="A6285" t="s">
        <v>673</v>
      </c>
      <c r="B6285" t="s">
        <v>74</v>
      </c>
      <c r="E6285" s="3">
        <f>HYPERLINK("https://sao.dolgi.msk.ru/account/1404121022/", 1404121022)</f>
        <v>1404121022</v>
      </c>
      <c r="F6285">
        <v>-5769.54</v>
      </c>
    </row>
    <row r="6286" spans="1:6" x14ac:dyDescent="0.25">
      <c r="A6286" t="s">
        <v>673</v>
      </c>
      <c r="B6286" t="s">
        <v>75</v>
      </c>
      <c r="C6286" s="5" t="str">
        <f>" кв. "&amp;B6286</f>
        <v xml:space="preserve"> кв. 71</v>
      </c>
      <c r="D6286" s="5" t="str">
        <f>CONCATENATE(A6286,C6286)</f>
        <v>Ленинградское шоссе, дом 98 к.4 кв. 71</v>
      </c>
      <c r="E6286" s="3">
        <f>HYPERLINK("https://sao.dolgi.msk.ru/account/1404120601/", 1404120601)</f>
        <v>1404120601</v>
      </c>
      <c r="F6286">
        <v>4797.01</v>
      </c>
    </row>
    <row r="6287" spans="1:6" hidden="1" x14ac:dyDescent="0.25">
      <c r="A6287" t="s">
        <v>673</v>
      </c>
      <c r="B6287" t="s">
        <v>76</v>
      </c>
      <c r="E6287" s="3">
        <f>HYPERLINK("https://sao.dolgi.msk.ru/account/1404120513/", 1404120513)</f>
        <v>1404120513</v>
      </c>
      <c r="F6287">
        <v>-2817.92</v>
      </c>
    </row>
    <row r="6288" spans="1:6" x14ac:dyDescent="0.25">
      <c r="A6288" t="s">
        <v>673</v>
      </c>
      <c r="B6288" t="s">
        <v>77</v>
      </c>
      <c r="C6288" s="5" t="str">
        <f>" кв. "&amp;B6288</f>
        <v xml:space="preserve"> кв. 73</v>
      </c>
      <c r="D6288" s="5" t="str">
        <f>CONCATENATE(A6288,C6288)</f>
        <v>Ленинградское шоссе, дом 98 к.4 кв. 73</v>
      </c>
      <c r="E6288" s="3">
        <f>HYPERLINK("https://sao.dolgi.msk.ru/account/1404121348/", 1404121348)</f>
        <v>1404121348</v>
      </c>
      <c r="F6288">
        <v>4800.18</v>
      </c>
    </row>
    <row r="6289" spans="1:6" hidden="1" x14ac:dyDescent="0.25">
      <c r="A6289" t="s">
        <v>673</v>
      </c>
      <c r="B6289" t="s">
        <v>78</v>
      </c>
      <c r="E6289" s="3">
        <f>HYPERLINK("https://sao.dolgi.msk.ru/account/1404120759/", 1404120759)</f>
        <v>1404120759</v>
      </c>
      <c r="F6289">
        <v>-3495.4</v>
      </c>
    </row>
    <row r="6290" spans="1:6" hidden="1" x14ac:dyDescent="0.25">
      <c r="A6290" t="s">
        <v>673</v>
      </c>
      <c r="B6290" t="s">
        <v>79</v>
      </c>
      <c r="E6290" s="3">
        <f>HYPERLINK("https://sao.dolgi.msk.ru/account/1404120628/", 1404120628)</f>
        <v>1404120628</v>
      </c>
      <c r="F6290">
        <v>-3170.26</v>
      </c>
    </row>
    <row r="6291" spans="1:6" hidden="1" x14ac:dyDescent="0.25">
      <c r="A6291" t="s">
        <v>673</v>
      </c>
      <c r="B6291" t="s">
        <v>80</v>
      </c>
      <c r="E6291" s="3">
        <f>HYPERLINK("https://sao.dolgi.msk.ru/account/1404121161/", 1404121161)</f>
        <v>1404121161</v>
      </c>
      <c r="F6291">
        <v>-3511.67</v>
      </c>
    </row>
    <row r="6292" spans="1:6" hidden="1" x14ac:dyDescent="0.25">
      <c r="A6292" t="s">
        <v>673</v>
      </c>
      <c r="B6292" t="s">
        <v>81</v>
      </c>
      <c r="E6292" s="3">
        <f>HYPERLINK("https://sao.dolgi.msk.ru/account/1404120767/", 1404120767)</f>
        <v>1404120767</v>
      </c>
      <c r="F6292">
        <v>0</v>
      </c>
    </row>
    <row r="6293" spans="1:6" x14ac:dyDescent="0.25">
      <c r="A6293" t="s">
        <v>673</v>
      </c>
      <c r="B6293" t="s">
        <v>82</v>
      </c>
      <c r="C6293" s="5" t="str">
        <f>" кв. "&amp;B6293</f>
        <v xml:space="preserve"> кв. 78</v>
      </c>
      <c r="D6293" s="5" t="str">
        <f>CONCATENATE(A6293,C6293)</f>
        <v>Ленинградское шоссе, дом 98 к.4 кв. 78</v>
      </c>
      <c r="E6293" s="3">
        <f>HYPERLINK("https://sao.dolgi.msk.ru/account/1404121049/", 1404121049)</f>
        <v>1404121049</v>
      </c>
      <c r="F6293">
        <v>8214.4</v>
      </c>
    </row>
    <row r="6294" spans="1:6" hidden="1" x14ac:dyDescent="0.25">
      <c r="A6294" t="s">
        <v>673</v>
      </c>
      <c r="B6294" t="s">
        <v>83</v>
      </c>
      <c r="E6294" s="3">
        <f>HYPERLINK("https://sao.dolgi.msk.ru/account/1404121057/", 1404121057)</f>
        <v>1404121057</v>
      </c>
      <c r="F6294">
        <v>-3552.74</v>
      </c>
    </row>
    <row r="6295" spans="1:6" hidden="1" x14ac:dyDescent="0.25">
      <c r="A6295" t="s">
        <v>673</v>
      </c>
      <c r="B6295" t="s">
        <v>84</v>
      </c>
      <c r="E6295" s="3">
        <f>HYPERLINK("https://sao.dolgi.msk.ru/account/1404121268/", 1404121268)</f>
        <v>1404121268</v>
      </c>
      <c r="F6295">
        <v>-3196.6</v>
      </c>
    </row>
    <row r="6296" spans="1:6" hidden="1" x14ac:dyDescent="0.25">
      <c r="A6296" t="s">
        <v>674</v>
      </c>
      <c r="B6296" t="s">
        <v>322</v>
      </c>
      <c r="E6296" s="3">
        <f>HYPERLINK("https://sao.dolgi.msk.ru/account/1404121903/", 1404121903)</f>
        <v>1404121903</v>
      </c>
      <c r="F6296">
        <v>0</v>
      </c>
    </row>
    <row r="6297" spans="1:6" hidden="1" x14ac:dyDescent="0.25">
      <c r="A6297" t="s">
        <v>674</v>
      </c>
      <c r="B6297" t="s">
        <v>323</v>
      </c>
      <c r="E6297" s="3">
        <f>HYPERLINK("https://sao.dolgi.msk.ru/account/1404121911/", 1404121911)</f>
        <v>1404121911</v>
      </c>
      <c r="F6297">
        <v>-3905.77</v>
      </c>
    </row>
    <row r="6298" spans="1:6" hidden="1" x14ac:dyDescent="0.25">
      <c r="A6298" t="s">
        <v>674</v>
      </c>
      <c r="B6298" t="s">
        <v>324</v>
      </c>
      <c r="E6298" s="3">
        <f>HYPERLINK("https://sao.dolgi.msk.ru/account/1404121436/", 1404121436)</f>
        <v>1404121436</v>
      </c>
      <c r="F6298">
        <v>-4031.28</v>
      </c>
    </row>
    <row r="6299" spans="1:6" x14ac:dyDescent="0.25">
      <c r="A6299" t="s">
        <v>674</v>
      </c>
      <c r="B6299" t="s">
        <v>325</v>
      </c>
      <c r="C6299" s="5" t="str">
        <f>" кв. "&amp;B6299</f>
        <v xml:space="preserve"> кв. 324</v>
      </c>
      <c r="D6299" s="5" t="str">
        <f>CONCATENATE(A6299,C6299)</f>
        <v>Ленинградское шоссе, дом 98 к.5 кв. 324</v>
      </c>
      <c r="E6299" s="3">
        <f>HYPERLINK("https://sao.dolgi.msk.ru/account/1404122033/", 1404122033)</f>
        <v>1404122033</v>
      </c>
      <c r="F6299">
        <v>33327.4</v>
      </c>
    </row>
    <row r="6300" spans="1:6" hidden="1" x14ac:dyDescent="0.25">
      <c r="A6300" t="s">
        <v>674</v>
      </c>
      <c r="B6300" t="s">
        <v>326</v>
      </c>
      <c r="E6300" s="3">
        <f>HYPERLINK("https://sao.dolgi.msk.ru/account/1404122041/", 1404122041)</f>
        <v>1404122041</v>
      </c>
      <c r="F6300">
        <v>-3159.95</v>
      </c>
    </row>
    <row r="6301" spans="1:6" hidden="1" x14ac:dyDescent="0.25">
      <c r="A6301" t="s">
        <v>674</v>
      </c>
      <c r="B6301" t="s">
        <v>327</v>
      </c>
      <c r="E6301" s="3">
        <f>HYPERLINK("https://sao.dolgi.msk.ru/account/1404121698/", 1404121698)</f>
        <v>1404121698</v>
      </c>
      <c r="F6301">
        <v>0</v>
      </c>
    </row>
    <row r="6302" spans="1:6" hidden="1" x14ac:dyDescent="0.25">
      <c r="A6302" t="s">
        <v>674</v>
      </c>
      <c r="B6302" t="s">
        <v>328</v>
      </c>
      <c r="E6302" s="3">
        <f>HYPERLINK("https://sao.dolgi.msk.ru/account/1404122068/", 1404122068)</f>
        <v>1404122068</v>
      </c>
      <c r="F6302">
        <v>-2121.66</v>
      </c>
    </row>
    <row r="6303" spans="1:6" hidden="1" x14ac:dyDescent="0.25">
      <c r="A6303" t="s">
        <v>674</v>
      </c>
      <c r="B6303" t="s">
        <v>329</v>
      </c>
      <c r="E6303" s="3">
        <f>HYPERLINK("https://sao.dolgi.msk.ru/account/1404121356/", 1404121356)</f>
        <v>1404121356</v>
      </c>
      <c r="F6303">
        <v>-1071.1199999999999</v>
      </c>
    </row>
    <row r="6304" spans="1:6" hidden="1" x14ac:dyDescent="0.25">
      <c r="A6304" t="s">
        <v>674</v>
      </c>
      <c r="B6304" t="s">
        <v>330</v>
      </c>
      <c r="E6304" s="3">
        <f>HYPERLINK("https://sao.dolgi.msk.ru/account/1404121364/", 1404121364)</f>
        <v>1404121364</v>
      </c>
      <c r="F6304">
        <v>0</v>
      </c>
    </row>
    <row r="6305" spans="1:6" hidden="1" x14ac:dyDescent="0.25">
      <c r="A6305" t="s">
        <v>674</v>
      </c>
      <c r="B6305" t="s">
        <v>331</v>
      </c>
      <c r="E6305" s="3">
        <f>HYPERLINK("https://sao.dolgi.msk.ru/account/1404121567/", 1404121567)</f>
        <v>1404121567</v>
      </c>
      <c r="F6305">
        <v>-4178.47</v>
      </c>
    </row>
    <row r="6306" spans="1:6" x14ac:dyDescent="0.25">
      <c r="A6306" t="s">
        <v>674</v>
      </c>
      <c r="B6306" t="s">
        <v>332</v>
      </c>
      <c r="C6306" s="5" t="str">
        <f>" кв. "&amp;B6306</f>
        <v xml:space="preserve"> кв. 331</v>
      </c>
      <c r="D6306" s="5" t="str">
        <f>CONCATENATE(A6306,C6306)</f>
        <v>Ленинградское шоссе, дом 98 к.5 кв. 331</v>
      </c>
      <c r="E6306" s="3">
        <f>HYPERLINK("https://sao.dolgi.msk.ru/account/1404121575/", 1404121575)</f>
        <v>1404121575</v>
      </c>
      <c r="F6306">
        <v>4681.96</v>
      </c>
    </row>
    <row r="6307" spans="1:6" hidden="1" x14ac:dyDescent="0.25">
      <c r="A6307" t="s">
        <v>674</v>
      </c>
      <c r="B6307" t="s">
        <v>333</v>
      </c>
      <c r="E6307" s="3">
        <f>HYPERLINK("https://sao.dolgi.msk.ru/account/1404121444/", 1404121444)</f>
        <v>1404121444</v>
      </c>
      <c r="F6307">
        <v>-2822.45</v>
      </c>
    </row>
    <row r="6308" spans="1:6" hidden="1" x14ac:dyDescent="0.25">
      <c r="A6308" t="s">
        <v>674</v>
      </c>
      <c r="B6308" t="s">
        <v>334</v>
      </c>
      <c r="E6308" s="3">
        <f>HYPERLINK("https://sao.dolgi.msk.ru/account/1404122244/", 1404122244)</f>
        <v>1404122244</v>
      </c>
      <c r="F6308">
        <v>-4731.87</v>
      </c>
    </row>
    <row r="6309" spans="1:6" hidden="1" x14ac:dyDescent="0.25">
      <c r="A6309" t="s">
        <v>674</v>
      </c>
      <c r="B6309" t="s">
        <v>335</v>
      </c>
      <c r="E6309" s="3">
        <f>HYPERLINK("https://sao.dolgi.msk.ru/account/1404122252/", 1404122252)</f>
        <v>1404122252</v>
      </c>
      <c r="F6309">
        <v>-2955.3</v>
      </c>
    </row>
    <row r="6310" spans="1:6" hidden="1" x14ac:dyDescent="0.25">
      <c r="A6310" t="s">
        <v>674</v>
      </c>
      <c r="B6310" t="s">
        <v>336</v>
      </c>
      <c r="E6310" s="3">
        <f>HYPERLINK("https://sao.dolgi.msk.ru/account/1404121452/", 1404121452)</f>
        <v>1404121452</v>
      </c>
      <c r="F6310">
        <v>-5180.17</v>
      </c>
    </row>
    <row r="6311" spans="1:6" hidden="1" x14ac:dyDescent="0.25">
      <c r="A6311" t="s">
        <v>674</v>
      </c>
      <c r="B6311" t="s">
        <v>337</v>
      </c>
      <c r="E6311" s="3">
        <f>HYPERLINK("https://sao.dolgi.msk.ru/account/1404121938/", 1404121938)</f>
        <v>1404121938</v>
      </c>
      <c r="F6311">
        <v>-2686.87</v>
      </c>
    </row>
    <row r="6312" spans="1:6" hidden="1" x14ac:dyDescent="0.25">
      <c r="A6312" t="s">
        <v>674</v>
      </c>
      <c r="B6312" t="s">
        <v>338</v>
      </c>
      <c r="E6312" s="3">
        <f>HYPERLINK("https://sao.dolgi.msk.ru/account/1404121946/", 1404121946)</f>
        <v>1404121946</v>
      </c>
      <c r="F6312">
        <v>-3195.72</v>
      </c>
    </row>
    <row r="6313" spans="1:6" hidden="1" x14ac:dyDescent="0.25">
      <c r="A6313" t="s">
        <v>674</v>
      </c>
      <c r="B6313" t="s">
        <v>339</v>
      </c>
      <c r="E6313" s="3">
        <f>HYPERLINK("https://sao.dolgi.msk.ru/account/1404121794/", 1404121794)</f>
        <v>1404121794</v>
      </c>
      <c r="F6313">
        <v>0</v>
      </c>
    </row>
    <row r="6314" spans="1:6" hidden="1" x14ac:dyDescent="0.25">
      <c r="A6314" t="s">
        <v>674</v>
      </c>
      <c r="B6314" t="s">
        <v>340</v>
      </c>
      <c r="E6314" s="3">
        <f>HYPERLINK("https://sao.dolgi.msk.ru/account/1404121954/", 1404121954)</f>
        <v>1404121954</v>
      </c>
      <c r="F6314">
        <v>-814.25</v>
      </c>
    </row>
    <row r="6315" spans="1:6" hidden="1" x14ac:dyDescent="0.25">
      <c r="A6315" t="s">
        <v>674</v>
      </c>
      <c r="B6315" t="s">
        <v>341</v>
      </c>
      <c r="E6315" s="3">
        <f>HYPERLINK("https://sao.dolgi.msk.ru/account/1404121719/", 1404121719)</f>
        <v>1404121719</v>
      </c>
      <c r="F6315">
        <v>-3244.22</v>
      </c>
    </row>
    <row r="6316" spans="1:6" hidden="1" x14ac:dyDescent="0.25">
      <c r="A6316" t="s">
        <v>674</v>
      </c>
      <c r="B6316" t="s">
        <v>342</v>
      </c>
      <c r="E6316" s="3">
        <f>HYPERLINK("https://sao.dolgi.msk.ru/account/1404121372/", 1404121372)</f>
        <v>1404121372</v>
      </c>
      <c r="F6316">
        <v>-2209.7199999999998</v>
      </c>
    </row>
    <row r="6317" spans="1:6" hidden="1" x14ac:dyDescent="0.25">
      <c r="A6317" t="s">
        <v>674</v>
      </c>
      <c r="B6317" t="s">
        <v>343</v>
      </c>
      <c r="E6317" s="3">
        <f>HYPERLINK("https://sao.dolgi.msk.ru/account/1404122076/", 1404122076)</f>
        <v>1404122076</v>
      </c>
      <c r="F6317">
        <v>0</v>
      </c>
    </row>
    <row r="6318" spans="1:6" hidden="1" x14ac:dyDescent="0.25">
      <c r="A6318" t="s">
        <v>674</v>
      </c>
      <c r="B6318" t="s">
        <v>344</v>
      </c>
      <c r="E6318" s="3">
        <f>HYPERLINK("https://sao.dolgi.msk.ru/account/1404121583/", 1404121583)</f>
        <v>1404121583</v>
      </c>
      <c r="F6318">
        <v>-3164.24</v>
      </c>
    </row>
    <row r="6319" spans="1:6" hidden="1" x14ac:dyDescent="0.25">
      <c r="A6319" t="s">
        <v>674</v>
      </c>
      <c r="B6319" t="s">
        <v>345</v>
      </c>
      <c r="E6319" s="3">
        <f>HYPERLINK("https://sao.dolgi.msk.ru/account/1404122084/", 1404122084)</f>
        <v>1404122084</v>
      </c>
      <c r="F6319">
        <v>-3164.03</v>
      </c>
    </row>
    <row r="6320" spans="1:6" hidden="1" x14ac:dyDescent="0.25">
      <c r="A6320" t="s">
        <v>674</v>
      </c>
      <c r="B6320" t="s">
        <v>346</v>
      </c>
      <c r="E6320" s="3">
        <f>HYPERLINK("https://sao.dolgi.msk.ru/account/1404121807/", 1404121807)</f>
        <v>1404121807</v>
      </c>
      <c r="F6320">
        <v>-3943.78</v>
      </c>
    </row>
    <row r="6321" spans="1:6" hidden="1" x14ac:dyDescent="0.25">
      <c r="A6321" t="s">
        <v>674</v>
      </c>
      <c r="B6321" t="s">
        <v>347</v>
      </c>
      <c r="E6321" s="3">
        <f>HYPERLINK("https://sao.dolgi.msk.ru/account/1404122092/", 1404122092)</f>
        <v>1404122092</v>
      </c>
      <c r="F6321">
        <v>-5192</v>
      </c>
    </row>
    <row r="6322" spans="1:6" hidden="1" x14ac:dyDescent="0.25">
      <c r="A6322" t="s">
        <v>674</v>
      </c>
      <c r="B6322" t="s">
        <v>348</v>
      </c>
      <c r="E6322" s="3">
        <f>HYPERLINK("https://sao.dolgi.msk.ru/account/1404122105/", 1404122105)</f>
        <v>1404122105</v>
      </c>
      <c r="F6322">
        <v>-2936.17</v>
      </c>
    </row>
    <row r="6323" spans="1:6" hidden="1" x14ac:dyDescent="0.25">
      <c r="A6323" t="s">
        <v>674</v>
      </c>
      <c r="B6323" t="s">
        <v>349</v>
      </c>
      <c r="E6323" s="3">
        <f>HYPERLINK("https://sao.dolgi.msk.ru/account/1404121591/", 1404121591)</f>
        <v>1404121591</v>
      </c>
      <c r="F6323">
        <v>0</v>
      </c>
    </row>
    <row r="6324" spans="1:6" hidden="1" x14ac:dyDescent="0.25">
      <c r="A6324" t="s">
        <v>674</v>
      </c>
      <c r="B6324" t="s">
        <v>350</v>
      </c>
      <c r="E6324" s="3">
        <f>HYPERLINK("https://sao.dolgi.msk.ru/account/1404121815/", 1404121815)</f>
        <v>1404121815</v>
      </c>
      <c r="F6324">
        <v>-2224.48</v>
      </c>
    </row>
    <row r="6325" spans="1:6" hidden="1" x14ac:dyDescent="0.25">
      <c r="A6325" t="s">
        <v>674</v>
      </c>
      <c r="B6325" t="s">
        <v>351</v>
      </c>
      <c r="E6325" s="3">
        <f>HYPERLINK("https://sao.dolgi.msk.ru/account/1404121604/", 1404121604)</f>
        <v>1404121604</v>
      </c>
      <c r="F6325">
        <v>-1452.37</v>
      </c>
    </row>
    <row r="6326" spans="1:6" x14ac:dyDescent="0.25">
      <c r="A6326" t="s">
        <v>674</v>
      </c>
      <c r="B6326" t="s">
        <v>352</v>
      </c>
      <c r="C6326" s="5" t="str">
        <f t="shared" ref="C6326:C6327" si="264">" кв. "&amp;B6326</f>
        <v xml:space="preserve"> кв. 351</v>
      </c>
      <c r="D6326" s="5" t="str">
        <f>CONCATENATE(A6326,C6326)</f>
        <v>Ленинградское шоссе, дом 98 к.5 кв. 351</v>
      </c>
      <c r="E6326" s="3">
        <f>HYPERLINK("https://sao.dolgi.msk.ru/account/1404121479/", 1404121479)</f>
        <v>1404121479</v>
      </c>
      <c r="F6326">
        <v>12827.72</v>
      </c>
    </row>
    <row r="6327" spans="1:6" x14ac:dyDescent="0.25">
      <c r="A6327" t="s">
        <v>674</v>
      </c>
      <c r="B6327" t="s">
        <v>353</v>
      </c>
      <c r="C6327" s="5" t="str">
        <f t="shared" si="264"/>
        <v xml:space="preserve"> кв. 352</v>
      </c>
      <c r="D6327" s="5" t="str">
        <f>CONCATENATE(A6327,C6327)</f>
        <v>Ленинградское шоссе, дом 98 к.5 кв. 352</v>
      </c>
      <c r="E6327" s="3">
        <f>HYPERLINK("https://sao.dolgi.msk.ru/account/1404121487/", 1404121487)</f>
        <v>1404121487</v>
      </c>
      <c r="F6327">
        <v>8504.91</v>
      </c>
    </row>
    <row r="6328" spans="1:6" hidden="1" x14ac:dyDescent="0.25">
      <c r="A6328" t="s">
        <v>674</v>
      </c>
      <c r="B6328" t="s">
        <v>354</v>
      </c>
      <c r="E6328" s="3">
        <f>HYPERLINK("https://sao.dolgi.msk.ru/account/1404121727/", 1404121727)</f>
        <v>1404121727</v>
      </c>
      <c r="F6328">
        <v>-3348.02</v>
      </c>
    </row>
    <row r="6329" spans="1:6" x14ac:dyDescent="0.25">
      <c r="A6329" t="s">
        <v>674</v>
      </c>
      <c r="B6329" t="s">
        <v>355</v>
      </c>
      <c r="C6329" s="5" t="str">
        <f>" кв. "&amp;B6329</f>
        <v xml:space="preserve"> кв. 354</v>
      </c>
      <c r="D6329" s="5" t="str">
        <f>CONCATENATE(A6329,C6329)</f>
        <v>Ленинградское шоссе, дом 98 к.5 кв. 354</v>
      </c>
      <c r="E6329" s="3">
        <f>HYPERLINK("https://sao.dolgi.msk.ru/account/1404122113/", 1404122113)</f>
        <v>1404122113</v>
      </c>
      <c r="F6329">
        <v>1523.29</v>
      </c>
    </row>
    <row r="6330" spans="1:6" hidden="1" x14ac:dyDescent="0.25">
      <c r="A6330" t="s">
        <v>674</v>
      </c>
      <c r="B6330" t="s">
        <v>356</v>
      </c>
      <c r="E6330" s="3">
        <f>HYPERLINK("https://sao.dolgi.msk.ru/account/1404121399/", 1404121399)</f>
        <v>1404121399</v>
      </c>
      <c r="F6330">
        <v>-3434.7</v>
      </c>
    </row>
    <row r="6331" spans="1:6" hidden="1" x14ac:dyDescent="0.25">
      <c r="A6331" t="s">
        <v>674</v>
      </c>
      <c r="B6331" t="s">
        <v>357</v>
      </c>
      <c r="E6331" s="3">
        <f>HYPERLINK("https://sao.dolgi.msk.ru/account/1404122121/", 1404122121)</f>
        <v>1404122121</v>
      </c>
      <c r="F6331">
        <v>-1499.31</v>
      </c>
    </row>
    <row r="6332" spans="1:6" hidden="1" x14ac:dyDescent="0.25">
      <c r="A6332" t="s">
        <v>674</v>
      </c>
      <c r="B6332" t="s">
        <v>358</v>
      </c>
      <c r="E6332" s="3">
        <f>HYPERLINK("https://sao.dolgi.msk.ru/account/1404122279/", 1404122279)</f>
        <v>1404122279</v>
      </c>
      <c r="F6332">
        <v>-4931.88</v>
      </c>
    </row>
    <row r="6333" spans="1:6" hidden="1" x14ac:dyDescent="0.25">
      <c r="A6333" t="s">
        <v>674</v>
      </c>
      <c r="B6333" t="s">
        <v>359</v>
      </c>
      <c r="E6333" s="3">
        <f>HYPERLINK("https://sao.dolgi.msk.ru/account/1404122148/", 1404122148)</f>
        <v>1404122148</v>
      </c>
      <c r="F6333">
        <v>-214.24</v>
      </c>
    </row>
    <row r="6334" spans="1:6" hidden="1" x14ac:dyDescent="0.25">
      <c r="A6334" t="s">
        <v>674</v>
      </c>
      <c r="B6334" t="s">
        <v>360</v>
      </c>
      <c r="E6334" s="3">
        <f>HYPERLINK("https://sao.dolgi.msk.ru/account/1404122156/", 1404122156)</f>
        <v>1404122156</v>
      </c>
      <c r="F6334">
        <v>-4356.1499999999996</v>
      </c>
    </row>
    <row r="6335" spans="1:6" hidden="1" x14ac:dyDescent="0.25">
      <c r="A6335" t="s">
        <v>674</v>
      </c>
      <c r="B6335" t="s">
        <v>361</v>
      </c>
      <c r="E6335" s="3">
        <f>HYPERLINK("https://sao.dolgi.msk.ru/account/1404121559/", 1404121559)</f>
        <v>1404121559</v>
      </c>
      <c r="F6335">
        <v>-6678.19</v>
      </c>
    </row>
    <row r="6336" spans="1:6" hidden="1" x14ac:dyDescent="0.25">
      <c r="A6336" t="s">
        <v>674</v>
      </c>
      <c r="B6336" t="s">
        <v>362</v>
      </c>
      <c r="E6336" s="3">
        <f>HYPERLINK("https://sao.dolgi.msk.ru/account/1404121962/", 1404121962)</f>
        <v>1404121962</v>
      </c>
      <c r="F6336">
        <v>-2661.09</v>
      </c>
    </row>
    <row r="6337" spans="1:6" hidden="1" x14ac:dyDescent="0.25">
      <c r="A6337" t="s">
        <v>674</v>
      </c>
      <c r="B6337" t="s">
        <v>363</v>
      </c>
      <c r="E6337" s="3">
        <f>HYPERLINK("https://sao.dolgi.msk.ru/account/1404121823/", 1404121823)</f>
        <v>1404121823</v>
      </c>
      <c r="F6337">
        <v>-5057.3</v>
      </c>
    </row>
    <row r="6338" spans="1:6" hidden="1" x14ac:dyDescent="0.25">
      <c r="A6338" t="s">
        <v>674</v>
      </c>
      <c r="B6338" t="s">
        <v>364</v>
      </c>
      <c r="E6338" s="3">
        <f>HYPERLINK("https://sao.dolgi.msk.ru/account/1404122164/", 1404122164)</f>
        <v>1404122164</v>
      </c>
      <c r="F6338">
        <v>-2645.38</v>
      </c>
    </row>
    <row r="6339" spans="1:6" hidden="1" x14ac:dyDescent="0.25">
      <c r="A6339" t="s">
        <v>674</v>
      </c>
      <c r="B6339" t="s">
        <v>365</v>
      </c>
      <c r="E6339" s="3">
        <f>HYPERLINK("https://sao.dolgi.msk.ru/account/1404121401/", 1404121401)</f>
        <v>1404121401</v>
      </c>
      <c r="F6339">
        <v>-3434.49</v>
      </c>
    </row>
    <row r="6340" spans="1:6" hidden="1" x14ac:dyDescent="0.25">
      <c r="A6340" t="s">
        <v>674</v>
      </c>
      <c r="B6340" t="s">
        <v>366</v>
      </c>
      <c r="E6340" s="3">
        <f>HYPERLINK("https://sao.dolgi.msk.ru/account/1404122172/", 1404122172)</f>
        <v>1404122172</v>
      </c>
      <c r="F6340">
        <v>0</v>
      </c>
    </row>
    <row r="6341" spans="1:6" hidden="1" x14ac:dyDescent="0.25">
      <c r="A6341" t="s">
        <v>674</v>
      </c>
      <c r="B6341" t="s">
        <v>367</v>
      </c>
      <c r="E6341" s="3">
        <f>HYPERLINK("https://sao.dolgi.msk.ru/account/1404122287/", 1404122287)</f>
        <v>1404122287</v>
      </c>
      <c r="F6341">
        <v>-186.18</v>
      </c>
    </row>
    <row r="6342" spans="1:6" hidden="1" x14ac:dyDescent="0.25">
      <c r="A6342" t="s">
        <v>674</v>
      </c>
      <c r="B6342" t="s">
        <v>368</v>
      </c>
      <c r="E6342" s="3">
        <f>HYPERLINK("https://sao.dolgi.msk.ru/account/1404121735/", 1404121735)</f>
        <v>1404121735</v>
      </c>
      <c r="F6342">
        <v>-4093.43</v>
      </c>
    </row>
    <row r="6343" spans="1:6" hidden="1" x14ac:dyDescent="0.25">
      <c r="A6343" t="s">
        <v>674</v>
      </c>
      <c r="B6343" t="s">
        <v>369</v>
      </c>
      <c r="E6343" s="3">
        <f>HYPERLINK("https://sao.dolgi.msk.ru/account/1404121612/", 1404121612)</f>
        <v>1404121612</v>
      </c>
      <c r="F6343">
        <v>-5647.19</v>
      </c>
    </row>
    <row r="6344" spans="1:6" hidden="1" x14ac:dyDescent="0.25">
      <c r="A6344" t="s">
        <v>674</v>
      </c>
      <c r="B6344" t="s">
        <v>370</v>
      </c>
      <c r="E6344" s="3">
        <f>HYPERLINK("https://sao.dolgi.msk.ru/account/1404121831/", 1404121831)</f>
        <v>1404121831</v>
      </c>
      <c r="F6344">
        <v>-2683.03</v>
      </c>
    </row>
    <row r="6345" spans="1:6" hidden="1" x14ac:dyDescent="0.25">
      <c r="A6345" t="s">
        <v>674</v>
      </c>
      <c r="B6345" t="s">
        <v>371</v>
      </c>
      <c r="E6345" s="3">
        <f>HYPERLINK("https://sao.dolgi.msk.ru/account/1404121858/", 1404121858)</f>
        <v>1404121858</v>
      </c>
      <c r="F6345">
        <v>-3538.06</v>
      </c>
    </row>
    <row r="6346" spans="1:6" hidden="1" x14ac:dyDescent="0.25">
      <c r="A6346" t="s">
        <v>674</v>
      </c>
      <c r="B6346" t="s">
        <v>372</v>
      </c>
      <c r="E6346" s="3">
        <f>HYPERLINK("https://sao.dolgi.msk.ru/account/1404121495/", 1404121495)</f>
        <v>1404121495</v>
      </c>
      <c r="F6346">
        <v>-2307.42</v>
      </c>
    </row>
    <row r="6347" spans="1:6" hidden="1" x14ac:dyDescent="0.25">
      <c r="A6347" t="s">
        <v>674</v>
      </c>
      <c r="B6347" t="s">
        <v>373</v>
      </c>
      <c r="E6347" s="3">
        <f>HYPERLINK("https://sao.dolgi.msk.ru/account/1404121866/", 1404121866)</f>
        <v>1404121866</v>
      </c>
      <c r="F6347">
        <v>-2732.21</v>
      </c>
    </row>
    <row r="6348" spans="1:6" hidden="1" x14ac:dyDescent="0.25">
      <c r="A6348" t="s">
        <v>674</v>
      </c>
      <c r="B6348" t="s">
        <v>374</v>
      </c>
      <c r="E6348" s="3">
        <f>HYPERLINK("https://sao.dolgi.msk.ru/account/1404121743/", 1404121743)</f>
        <v>1404121743</v>
      </c>
      <c r="F6348">
        <v>-910.93</v>
      </c>
    </row>
    <row r="6349" spans="1:6" hidden="1" x14ac:dyDescent="0.25">
      <c r="A6349" t="s">
        <v>674</v>
      </c>
      <c r="B6349" t="s">
        <v>375</v>
      </c>
      <c r="E6349" s="3">
        <f>HYPERLINK("https://sao.dolgi.msk.ru/account/1404122199/", 1404122199)</f>
        <v>1404122199</v>
      </c>
      <c r="F6349">
        <v>-4060.03</v>
      </c>
    </row>
    <row r="6350" spans="1:6" hidden="1" x14ac:dyDescent="0.25">
      <c r="A6350" t="s">
        <v>674</v>
      </c>
      <c r="B6350" t="s">
        <v>376</v>
      </c>
      <c r="E6350" s="3">
        <f>HYPERLINK("https://sao.dolgi.msk.ru/account/1404122201/", 1404122201)</f>
        <v>1404122201</v>
      </c>
      <c r="F6350">
        <v>-5420.29</v>
      </c>
    </row>
    <row r="6351" spans="1:6" hidden="1" x14ac:dyDescent="0.25">
      <c r="A6351" t="s">
        <v>674</v>
      </c>
      <c r="B6351" t="s">
        <v>377</v>
      </c>
      <c r="E6351" s="3">
        <f>HYPERLINK("https://sao.dolgi.msk.ru/account/1404122295/", 1404122295)</f>
        <v>1404122295</v>
      </c>
      <c r="F6351">
        <v>-1913.82</v>
      </c>
    </row>
    <row r="6352" spans="1:6" hidden="1" x14ac:dyDescent="0.25">
      <c r="A6352" t="s">
        <v>674</v>
      </c>
      <c r="B6352" t="s">
        <v>378</v>
      </c>
      <c r="E6352" s="3">
        <f>HYPERLINK("https://sao.dolgi.msk.ru/account/1404121508/", 1404121508)</f>
        <v>1404121508</v>
      </c>
      <c r="F6352">
        <v>0</v>
      </c>
    </row>
    <row r="6353" spans="1:6" hidden="1" x14ac:dyDescent="0.25">
      <c r="A6353" t="s">
        <v>674</v>
      </c>
      <c r="B6353" t="s">
        <v>378</v>
      </c>
      <c r="E6353" s="3">
        <f>HYPERLINK("https://sao.dolgi.msk.ru/account/1404121639/", 1404121639)</f>
        <v>1404121639</v>
      </c>
      <c r="F6353">
        <v>0</v>
      </c>
    </row>
    <row r="6354" spans="1:6" hidden="1" x14ac:dyDescent="0.25">
      <c r="A6354" t="s">
        <v>674</v>
      </c>
      <c r="B6354" t="s">
        <v>378</v>
      </c>
      <c r="E6354" s="3">
        <f>HYPERLINK("https://sao.dolgi.msk.ru/account/1404121989/", 1404121989)</f>
        <v>1404121989</v>
      </c>
      <c r="F6354">
        <v>-8090.82</v>
      </c>
    </row>
    <row r="6355" spans="1:6" x14ac:dyDescent="0.25">
      <c r="A6355" t="s">
        <v>674</v>
      </c>
      <c r="B6355" t="s">
        <v>379</v>
      </c>
      <c r="C6355" s="5" t="str">
        <f>" кв. "&amp;B6355</f>
        <v xml:space="preserve"> кв. 378</v>
      </c>
      <c r="D6355" s="5" t="str">
        <f>CONCATENATE(A6355,C6355)</f>
        <v>Ленинградское шоссе, дом 98 к.5 кв. 378</v>
      </c>
      <c r="E6355" s="3">
        <f>HYPERLINK("https://sao.dolgi.msk.ru/account/1404121997/", 1404121997)</f>
        <v>1404121997</v>
      </c>
      <c r="F6355">
        <v>4929.72</v>
      </c>
    </row>
    <row r="6356" spans="1:6" hidden="1" x14ac:dyDescent="0.25">
      <c r="A6356" t="s">
        <v>674</v>
      </c>
      <c r="B6356" t="s">
        <v>380</v>
      </c>
      <c r="E6356" s="3">
        <f>HYPERLINK("https://sao.dolgi.msk.ru/account/1404121516/", 1404121516)</f>
        <v>1404121516</v>
      </c>
      <c r="F6356">
        <v>-5330</v>
      </c>
    </row>
    <row r="6357" spans="1:6" hidden="1" x14ac:dyDescent="0.25">
      <c r="A6357" t="s">
        <v>674</v>
      </c>
      <c r="B6357" t="s">
        <v>381</v>
      </c>
      <c r="E6357" s="3">
        <f>HYPERLINK("https://sao.dolgi.msk.ru/account/1404122308/", 1404122308)</f>
        <v>1404122308</v>
      </c>
      <c r="F6357">
        <v>-3262.85</v>
      </c>
    </row>
    <row r="6358" spans="1:6" hidden="1" x14ac:dyDescent="0.25">
      <c r="A6358" t="s">
        <v>674</v>
      </c>
      <c r="B6358" t="s">
        <v>382</v>
      </c>
      <c r="E6358" s="3">
        <f>HYPERLINK("https://sao.dolgi.msk.ru/account/1404121647/", 1404121647)</f>
        <v>1404121647</v>
      </c>
      <c r="F6358">
        <v>-2585.06</v>
      </c>
    </row>
    <row r="6359" spans="1:6" hidden="1" x14ac:dyDescent="0.25">
      <c r="A6359" t="s">
        <v>674</v>
      </c>
      <c r="B6359" t="s">
        <v>383</v>
      </c>
      <c r="E6359" s="3">
        <f>HYPERLINK("https://sao.dolgi.msk.ru/account/1404122228/", 1404122228)</f>
        <v>1404122228</v>
      </c>
      <c r="F6359">
        <v>-3992.09</v>
      </c>
    </row>
    <row r="6360" spans="1:6" hidden="1" x14ac:dyDescent="0.25">
      <c r="A6360" t="s">
        <v>674</v>
      </c>
      <c r="B6360" t="s">
        <v>384</v>
      </c>
      <c r="E6360" s="3">
        <f>HYPERLINK("https://sao.dolgi.msk.ru/account/1404121751/", 1404121751)</f>
        <v>1404121751</v>
      </c>
      <c r="F6360">
        <v>-4233.25</v>
      </c>
    </row>
    <row r="6361" spans="1:6" hidden="1" x14ac:dyDescent="0.25">
      <c r="A6361" t="s">
        <v>674</v>
      </c>
      <c r="B6361" t="s">
        <v>385</v>
      </c>
      <c r="E6361" s="3">
        <f>HYPERLINK("https://sao.dolgi.msk.ru/account/1404121524/", 1404121524)</f>
        <v>1404121524</v>
      </c>
      <c r="F6361">
        <v>0</v>
      </c>
    </row>
    <row r="6362" spans="1:6" hidden="1" x14ac:dyDescent="0.25">
      <c r="A6362" t="s">
        <v>674</v>
      </c>
      <c r="B6362" t="s">
        <v>386</v>
      </c>
      <c r="E6362" s="3">
        <f>HYPERLINK("https://sao.dolgi.msk.ru/account/1404121655/", 1404121655)</f>
        <v>1404121655</v>
      </c>
      <c r="F6362">
        <v>-2903.68</v>
      </c>
    </row>
    <row r="6363" spans="1:6" hidden="1" x14ac:dyDescent="0.25">
      <c r="A6363" t="s">
        <v>674</v>
      </c>
      <c r="B6363" t="s">
        <v>387</v>
      </c>
      <c r="E6363" s="3">
        <f>HYPERLINK("https://sao.dolgi.msk.ru/account/1404122009/", 1404122009)</f>
        <v>1404122009</v>
      </c>
      <c r="F6363">
        <v>-3899.42</v>
      </c>
    </row>
    <row r="6364" spans="1:6" hidden="1" x14ac:dyDescent="0.25">
      <c r="A6364" t="s">
        <v>674</v>
      </c>
      <c r="B6364" t="s">
        <v>388</v>
      </c>
      <c r="E6364" s="3">
        <f>HYPERLINK("https://sao.dolgi.msk.ru/account/1404122017/", 1404122017)</f>
        <v>1404122017</v>
      </c>
      <c r="F6364">
        <v>-5312.99</v>
      </c>
    </row>
    <row r="6365" spans="1:6" hidden="1" x14ac:dyDescent="0.25">
      <c r="A6365" t="s">
        <v>674</v>
      </c>
      <c r="B6365" t="s">
        <v>389</v>
      </c>
      <c r="E6365" s="3">
        <f>HYPERLINK("https://sao.dolgi.msk.ru/account/1404122316/", 1404122316)</f>
        <v>1404122316</v>
      </c>
      <c r="F6365">
        <v>-2092.44</v>
      </c>
    </row>
    <row r="6366" spans="1:6" hidden="1" x14ac:dyDescent="0.25">
      <c r="A6366" t="s">
        <v>674</v>
      </c>
      <c r="B6366" t="s">
        <v>390</v>
      </c>
      <c r="E6366" s="3">
        <f>HYPERLINK("https://sao.dolgi.msk.ru/account/1404121778/", 1404121778)</f>
        <v>1404121778</v>
      </c>
      <c r="F6366">
        <v>-3799.59</v>
      </c>
    </row>
    <row r="6367" spans="1:6" hidden="1" x14ac:dyDescent="0.25">
      <c r="A6367" t="s">
        <v>674</v>
      </c>
      <c r="B6367" t="s">
        <v>391</v>
      </c>
      <c r="E6367" s="3">
        <f>HYPERLINK("https://sao.dolgi.msk.ru/account/1404122324/", 1404122324)</f>
        <v>1404122324</v>
      </c>
      <c r="F6367">
        <v>-2929.91</v>
      </c>
    </row>
    <row r="6368" spans="1:6" hidden="1" x14ac:dyDescent="0.25">
      <c r="A6368" t="s">
        <v>674</v>
      </c>
      <c r="B6368" t="s">
        <v>392</v>
      </c>
      <c r="E6368" s="3">
        <f>HYPERLINK("https://sao.dolgi.msk.ru/account/1404122332/", 1404122332)</f>
        <v>1404122332</v>
      </c>
      <c r="F6368">
        <v>-5628.18</v>
      </c>
    </row>
    <row r="6369" spans="1:6" hidden="1" x14ac:dyDescent="0.25">
      <c r="A6369" t="s">
        <v>674</v>
      </c>
      <c r="B6369" t="s">
        <v>393</v>
      </c>
      <c r="E6369" s="3">
        <f>HYPERLINK("https://sao.dolgi.msk.ru/account/1404121874/", 1404121874)</f>
        <v>1404121874</v>
      </c>
      <c r="F6369">
        <v>-3010.2</v>
      </c>
    </row>
    <row r="6370" spans="1:6" hidden="1" x14ac:dyDescent="0.25">
      <c r="A6370" t="s">
        <v>674</v>
      </c>
      <c r="B6370" t="s">
        <v>394</v>
      </c>
      <c r="E6370" s="3">
        <f>HYPERLINK("https://sao.dolgi.msk.ru/account/1404121663/", 1404121663)</f>
        <v>1404121663</v>
      </c>
      <c r="F6370">
        <v>-3371.14</v>
      </c>
    </row>
    <row r="6371" spans="1:6" hidden="1" x14ac:dyDescent="0.25">
      <c r="A6371" t="s">
        <v>674</v>
      </c>
      <c r="B6371" t="s">
        <v>395</v>
      </c>
      <c r="E6371" s="3">
        <f>HYPERLINK("https://sao.dolgi.msk.ru/account/1404122025/", 1404122025)</f>
        <v>1404122025</v>
      </c>
      <c r="F6371">
        <v>-4263.75</v>
      </c>
    </row>
    <row r="6372" spans="1:6" hidden="1" x14ac:dyDescent="0.25">
      <c r="A6372" t="s">
        <v>674</v>
      </c>
      <c r="B6372" t="s">
        <v>396</v>
      </c>
      <c r="E6372" s="3">
        <f>HYPERLINK("https://sao.dolgi.msk.ru/account/1404122359/", 1404122359)</f>
        <v>1404122359</v>
      </c>
      <c r="F6372">
        <v>-1979.91</v>
      </c>
    </row>
    <row r="6373" spans="1:6" hidden="1" x14ac:dyDescent="0.25">
      <c r="A6373" t="s">
        <v>674</v>
      </c>
      <c r="B6373" t="s">
        <v>397</v>
      </c>
      <c r="E6373" s="3">
        <f>HYPERLINK("https://sao.dolgi.msk.ru/account/1404122367/", 1404122367)</f>
        <v>1404122367</v>
      </c>
      <c r="F6373">
        <v>-2224.12</v>
      </c>
    </row>
    <row r="6374" spans="1:6" hidden="1" x14ac:dyDescent="0.25">
      <c r="A6374" t="s">
        <v>674</v>
      </c>
      <c r="B6374" t="s">
        <v>398</v>
      </c>
      <c r="E6374" s="3">
        <f>HYPERLINK("https://sao.dolgi.msk.ru/account/1404122236/", 1404122236)</f>
        <v>1404122236</v>
      </c>
      <c r="F6374">
        <v>0</v>
      </c>
    </row>
    <row r="6375" spans="1:6" hidden="1" x14ac:dyDescent="0.25">
      <c r="A6375" t="s">
        <v>674</v>
      </c>
      <c r="B6375" t="s">
        <v>399</v>
      </c>
      <c r="E6375" s="3">
        <f>HYPERLINK("https://sao.dolgi.msk.ru/account/1404121428/", 1404121428)</f>
        <v>1404121428</v>
      </c>
      <c r="F6375">
        <v>-1032.58</v>
      </c>
    </row>
    <row r="6376" spans="1:6" hidden="1" x14ac:dyDescent="0.25">
      <c r="A6376" t="s">
        <v>674</v>
      </c>
      <c r="B6376" t="s">
        <v>399</v>
      </c>
      <c r="E6376" s="3">
        <f>HYPERLINK("https://sao.dolgi.msk.ru/account/1404121532/", 1404121532)</f>
        <v>1404121532</v>
      </c>
      <c r="F6376">
        <v>-5775.63</v>
      </c>
    </row>
    <row r="6377" spans="1:6" hidden="1" x14ac:dyDescent="0.25">
      <c r="A6377" t="s">
        <v>674</v>
      </c>
      <c r="B6377" t="s">
        <v>399</v>
      </c>
      <c r="E6377" s="3">
        <f>HYPERLINK("https://sao.dolgi.msk.ru/account/1404121671/", 1404121671)</f>
        <v>1404121671</v>
      </c>
      <c r="F6377">
        <v>-1141.8</v>
      </c>
    </row>
    <row r="6378" spans="1:6" hidden="1" x14ac:dyDescent="0.25">
      <c r="A6378" t="s">
        <v>674</v>
      </c>
      <c r="B6378" t="s">
        <v>399</v>
      </c>
      <c r="E6378" s="3">
        <f>HYPERLINK("https://sao.dolgi.msk.ru/account/1404121786/", 1404121786)</f>
        <v>1404121786</v>
      </c>
      <c r="F6378">
        <v>-863.81</v>
      </c>
    </row>
    <row r="6379" spans="1:6" hidden="1" x14ac:dyDescent="0.25">
      <c r="A6379" t="s">
        <v>674</v>
      </c>
      <c r="B6379" t="s">
        <v>399</v>
      </c>
      <c r="E6379" s="3">
        <f>HYPERLINK("https://sao.dolgi.msk.ru/account/1404121882/", 1404121882)</f>
        <v>1404121882</v>
      </c>
      <c r="F6379">
        <v>0</v>
      </c>
    </row>
    <row r="6380" spans="1:6" hidden="1" x14ac:dyDescent="0.25">
      <c r="A6380" t="s">
        <v>675</v>
      </c>
      <c r="B6380" t="s">
        <v>5</v>
      </c>
      <c r="E6380" s="3">
        <f>HYPERLINK("https://sao.dolgi.msk.ru/account/1404123343/", 1404123343)</f>
        <v>1404123343</v>
      </c>
      <c r="F6380">
        <v>-1516.06</v>
      </c>
    </row>
    <row r="6381" spans="1:6" hidden="1" x14ac:dyDescent="0.25">
      <c r="A6381" t="s">
        <v>675</v>
      </c>
      <c r="B6381" t="s">
        <v>6</v>
      </c>
      <c r="E6381" s="3">
        <f>HYPERLINK("https://sao.dolgi.msk.ru/account/1404123175/", 1404123175)</f>
        <v>1404123175</v>
      </c>
      <c r="F6381">
        <v>-5369.58</v>
      </c>
    </row>
    <row r="6382" spans="1:6" hidden="1" x14ac:dyDescent="0.25">
      <c r="A6382" t="s">
        <v>675</v>
      </c>
      <c r="B6382" t="s">
        <v>7</v>
      </c>
      <c r="E6382" s="3">
        <f>HYPERLINK("https://sao.dolgi.msk.ru/account/1404123765/", 1404123765)</f>
        <v>1404123765</v>
      </c>
      <c r="F6382">
        <v>-2449.13</v>
      </c>
    </row>
    <row r="6383" spans="1:6" hidden="1" x14ac:dyDescent="0.25">
      <c r="A6383" t="s">
        <v>675</v>
      </c>
      <c r="B6383" t="s">
        <v>8</v>
      </c>
      <c r="E6383" s="3">
        <f>HYPERLINK("https://sao.dolgi.msk.ru/account/1404122412/", 1404122412)</f>
        <v>1404122412</v>
      </c>
      <c r="F6383">
        <v>-1081.5</v>
      </c>
    </row>
    <row r="6384" spans="1:6" hidden="1" x14ac:dyDescent="0.25">
      <c r="A6384" t="s">
        <v>675</v>
      </c>
      <c r="B6384" t="s">
        <v>9</v>
      </c>
      <c r="E6384" s="3">
        <f>HYPERLINK("https://sao.dolgi.msk.ru/account/1404123837/", 1404123837)</f>
        <v>1404123837</v>
      </c>
      <c r="F6384">
        <v>-1976.15</v>
      </c>
    </row>
    <row r="6385" spans="1:6" x14ac:dyDescent="0.25">
      <c r="A6385" t="s">
        <v>675</v>
      </c>
      <c r="B6385" t="s">
        <v>10</v>
      </c>
      <c r="C6385" s="5" t="str">
        <f>" кв. "&amp;B6385</f>
        <v xml:space="preserve"> кв. 6</v>
      </c>
      <c r="D6385" s="5" t="str">
        <f>CONCATENATE(A6385,C6385)</f>
        <v>Ленинградское шоссе, дом 100 кв. 6</v>
      </c>
      <c r="E6385" s="3">
        <f>HYPERLINK("https://sao.dolgi.msk.ru/account/1404123845/", 1404123845)</f>
        <v>1404123845</v>
      </c>
      <c r="F6385">
        <v>4976.18</v>
      </c>
    </row>
    <row r="6386" spans="1:6" hidden="1" x14ac:dyDescent="0.25">
      <c r="A6386" t="s">
        <v>675</v>
      </c>
      <c r="B6386" t="s">
        <v>11</v>
      </c>
      <c r="E6386" s="3">
        <f>HYPERLINK("https://sao.dolgi.msk.ru/account/1404123255/", 1404123255)</f>
        <v>1404123255</v>
      </c>
      <c r="F6386">
        <v>-2540.21</v>
      </c>
    </row>
    <row r="6387" spans="1:6" hidden="1" x14ac:dyDescent="0.25">
      <c r="A6387" t="s">
        <v>675</v>
      </c>
      <c r="B6387" t="s">
        <v>12</v>
      </c>
      <c r="E6387" s="3">
        <f>HYPERLINK("https://sao.dolgi.msk.ru/account/1404123108/", 1404123108)</f>
        <v>1404123108</v>
      </c>
      <c r="F6387">
        <v>-3256.5</v>
      </c>
    </row>
    <row r="6388" spans="1:6" hidden="1" x14ac:dyDescent="0.25">
      <c r="A6388" t="s">
        <v>675</v>
      </c>
      <c r="B6388" t="s">
        <v>13</v>
      </c>
      <c r="E6388" s="3">
        <f>HYPERLINK("https://sao.dolgi.msk.ru/account/1404122498/", 1404122498)</f>
        <v>1404122498</v>
      </c>
      <c r="F6388">
        <v>-4424.9799999999996</v>
      </c>
    </row>
    <row r="6389" spans="1:6" hidden="1" x14ac:dyDescent="0.25">
      <c r="A6389" t="s">
        <v>675</v>
      </c>
      <c r="B6389" t="s">
        <v>14</v>
      </c>
      <c r="E6389" s="3">
        <f>HYPERLINK("https://sao.dolgi.msk.ru/account/1404122375/", 1404122375)</f>
        <v>1404122375</v>
      </c>
      <c r="F6389">
        <v>-5725.83</v>
      </c>
    </row>
    <row r="6390" spans="1:6" hidden="1" x14ac:dyDescent="0.25">
      <c r="A6390" t="s">
        <v>675</v>
      </c>
      <c r="B6390" t="s">
        <v>15</v>
      </c>
      <c r="E6390" s="3">
        <f>HYPERLINK("https://sao.dolgi.msk.ru/account/1404122383/", 1404122383)</f>
        <v>1404122383</v>
      </c>
      <c r="F6390">
        <v>-2562.1</v>
      </c>
    </row>
    <row r="6391" spans="1:6" hidden="1" x14ac:dyDescent="0.25">
      <c r="A6391" t="s">
        <v>675</v>
      </c>
      <c r="B6391" t="s">
        <v>16</v>
      </c>
      <c r="E6391" s="3">
        <f>HYPERLINK("https://sao.dolgi.msk.ru/account/1404123554/", 1404123554)</f>
        <v>1404123554</v>
      </c>
      <c r="F6391">
        <v>-4285.8999999999996</v>
      </c>
    </row>
    <row r="6392" spans="1:6" hidden="1" x14ac:dyDescent="0.25">
      <c r="A6392" t="s">
        <v>675</v>
      </c>
      <c r="B6392" t="s">
        <v>17</v>
      </c>
      <c r="E6392" s="3">
        <f>HYPERLINK("https://sao.dolgi.msk.ru/account/1404122797/", 1404122797)</f>
        <v>1404122797</v>
      </c>
      <c r="F6392">
        <v>-5907.35</v>
      </c>
    </row>
    <row r="6393" spans="1:6" hidden="1" x14ac:dyDescent="0.25">
      <c r="A6393" t="s">
        <v>675</v>
      </c>
      <c r="B6393" t="s">
        <v>18</v>
      </c>
      <c r="E6393" s="3">
        <f>HYPERLINK("https://sao.dolgi.msk.ru/account/1404123001/", 1404123001)</f>
        <v>1404123001</v>
      </c>
      <c r="F6393">
        <v>-10421.17</v>
      </c>
    </row>
    <row r="6394" spans="1:6" hidden="1" x14ac:dyDescent="0.25">
      <c r="A6394" t="s">
        <v>675</v>
      </c>
      <c r="B6394" t="s">
        <v>19</v>
      </c>
      <c r="E6394" s="3">
        <f>HYPERLINK("https://sao.dolgi.msk.ru/account/1404123167/", 1404123167)</f>
        <v>1404123167</v>
      </c>
      <c r="F6394">
        <v>-2463.27</v>
      </c>
    </row>
    <row r="6395" spans="1:6" hidden="1" x14ac:dyDescent="0.25">
      <c r="A6395" t="s">
        <v>675</v>
      </c>
      <c r="B6395" t="s">
        <v>20</v>
      </c>
      <c r="E6395" s="3">
        <f>HYPERLINK("https://sao.dolgi.msk.ru/account/1404123749/", 1404123749)</f>
        <v>1404123749</v>
      </c>
      <c r="F6395">
        <v>-4271.32</v>
      </c>
    </row>
    <row r="6396" spans="1:6" hidden="1" x14ac:dyDescent="0.25">
      <c r="A6396" t="s">
        <v>675</v>
      </c>
      <c r="B6396" t="s">
        <v>21</v>
      </c>
      <c r="E6396" s="3">
        <f>HYPERLINK("https://sao.dolgi.msk.ru/account/1404123757/", 1404123757)</f>
        <v>1404123757</v>
      </c>
      <c r="F6396">
        <v>-5292.48</v>
      </c>
    </row>
    <row r="6397" spans="1:6" hidden="1" x14ac:dyDescent="0.25">
      <c r="A6397" t="s">
        <v>675</v>
      </c>
      <c r="B6397" t="s">
        <v>22</v>
      </c>
      <c r="E6397" s="3">
        <f>HYPERLINK("https://sao.dolgi.msk.ru/account/1404123562/", 1404123562)</f>
        <v>1404123562</v>
      </c>
      <c r="F6397">
        <v>-4253.6000000000004</v>
      </c>
    </row>
    <row r="6398" spans="1:6" hidden="1" x14ac:dyDescent="0.25">
      <c r="A6398" t="s">
        <v>675</v>
      </c>
      <c r="B6398" t="s">
        <v>23</v>
      </c>
      <c r="E6398" s="3">
        <f>HYPERLINK("https://sao.dolgi.msk.ru/account/1404123589/", 1404123589)</f>
        <v>1404123589</v>
      </c>
      <c r="F6398">
        <v>0</v>
      </c>
    </row>
    <row r="6399" spans="1:6" hidden="1" x14ac:dyDescent="0.25">
      <c r="A6399" t="s">
        <v>675</v>
      </c>
      <c r="B6399" t="s">
        <v>24</v>
      </c>
      <c r="E6399" s="3">
        <f>HYPERLINK("https://sao.dolgi.msk.ru/account/1404123394/", 1404123394)</f>
        <v>1404123394</v>
      </c>
      <c r="F6399">
        <v>-1159.6600000000001</v>
      </c>
    </row>
    <row r="6400" spans="1:6" hidden="1" x14ac:dyDescent="0.25">
      <c r="A6400" t="s">
        <v>675</v>
      </c>
      <c r="B6400" t="s">
        <v>25</v>
      </c>
      <c r="E6400" s="3">
        <f>HYPERLINK("https://sao.dolgi.msk.ru/account/1404122818/", 1404122818)</f>
        <v>1404122818</v>
      </c>
      <c r="F6400">
        <v>-3411.52</v>
      </c>
    </row>
    <row r="6401" spans="1:6" hidden="1" x14ac:dyDescent="0.25">
      <c r="A6401" t="s">
        <v>675</v>
      </c>
      <c r="B6401" t="s">
        <v>26</v>
      </c>
      <c r="E6401" s="3">
        <f>HYPERLINK("https://sao.dolgi.msk.ru/account/1404122551/", 1404122551)</f>
        <v>1404122551</v>
      </c>
      <c r="F6401">
        <v>-1585.62</v>
      </c>
    </row>
    <row r="6402" spans="1:6" hidden="1" x14ac:dyDescent="0.25">
      <c r="A6402" t="s">
        <v>675</v>
      </c>
      <c r="B6402" t="s">
        <v>27</v>
      </c>
      <c r="E6402" s="3">
        <f>HYPERLINK("https://sao.dolgi.msk.ru/account/1404123183/", 1404123183)</f>
        <v>1404123183</v>
      </c>
      <c r="F6402">
        <v>-2660.29</v>
      </c>
    </row>
    <row r="6403" spans="1:6" hidden="1" x14ac:dyDescent="0.25">
      <c r="A6403" t="s">
        <v>675</v>
      </c>
      <c r="B6403" t="s">
        <v>28</v>
      </c>
      <c r="E6403" s="3">
        <f>HYPERLINK("https://sao.dolgi.msk.ru/account/1404123191/", 1404123191)</f>
        <v>1404123191</v>
      </c>
      <c r="F6403">
        <v>-4364.12</v>
      </c>
    </row>
    <row r="6404" spans="1:6" hidden="1" x14ac:dyDescent="0.25">
      <c r="A6404" t="s">
        <v>675</v>
      </c>
      <c r="B6404" t="s">
        <v>29</v>
      </c>
      <c r="E6404" s="3">
        <f>HYPERLINK("https://sao.dolgi.msk.ru/account/1404122391/", 1404122391)</f>
        <v>1404122391</v>
      </c>
      <c r="F6404">
        <v>-4913.13</v>
      </c>
    </row>
    <row r="6405" spans="1:6" hidden="1" x14ac:dyDescent="0.25">
      <c r="A6405" t="s">
        <v>675</v>
      </c>
      <c r="B6405" t="s">
        <v>30</v>
      </c>
      <c r="E6405" s="3">
        <f>HYPERLINK("https://sao.dolgi.msk.ru/account/1404123597/", 1404123597)</f>
        <v>1404123597</v>
      </c>
      <c r="F6405">
        <v>0</v>
      </c>
    </row>
    <row r="6406" spans="1:6" hidden="1" x14ac:dyDescent="0.25">
      <c r="A6406" t="s">
        <v>675</v>
      </c>
      <c r="B6406" t="s">
        <v>31</v>
      </c>
      <c r="E6406" s="3">
        <f>HYPERLINK("https://sao.dolgi.msk.ru/account/1404123618/", 1404123618)</f>
        <v>1404123618</v>
      </c>
      <c r="F6406">
        <v>0</v>
      </c>
    </row>
    <row r="6407" spans="1:6" hidden="1" x14ac:dyDescent="0.25">
      <c r="A6407" t="s">
        <v>675</v>
      </c>
      <c r="B6407" t="s">
        <v>32</v>
      </c>
      <c r="E6407" s="3">
        <f>HYPERLINK("https://sao.dolgi.msk.ru/account/1404122578/", 1404122578)</f>
        <v>1404122578</v>
      </c>
      <c r="F6407">
        <v>-3440.32</v>
      </c>
    </row>
    <row r="6408" spans="1:6" x14ac:dyDescent="0.25">
      <c r="A6408" t="s">
        <v>675</v>
      </c>
      <c r="B6408" t="s">
        <v>33</v>
      </c>
      <c r="C6408" s="5" t="str">
        <f>" кв. "&amp;B6408</f>
        <v xml:space="preserve"> кв. 29</v>
      </c>
      <c r="D6408" s="5" t="str">
        <f>CONCATENATE(A6408,C6408)</f>
        <v>Ленинградское шоссе, дом 100 кв. 29</v>
      </c>
      <c r="E6408" s="3">
        <f>HYPERLINK("https://sao.dolgi.msk.ru/account/1404123626/", 1404123626)</f>
        <v>1404123626</v>
      </c>
      <c r="F6408">
        <v>5477.65</v>
      </c>
    </row>
    <row r="6409" spans="1:6" hidden="1" x14ac:dyDescent="0.25">
      <c r="A6409" t="s">
        <v>675</v>
      </c>
      <c r="B6409" t="s">
        <v>34</v>
      </c>
      <c r="E6409" s="3">
        <f>HYPERLINK("https://sao.dolgi.msk.ru/account/1404123028/", 1404123028)</f>
        <v>1404123028</v>
      </c>
      <c r="F6409">
        <v>-2678.55</v>
      </c>
    </row>
    <row r="6410" spans="1:6" hidden="1" x14ac:dyDescent="0.25">
      <c r="A6410" t="s">
        <v>675</v>
      </c>
      <c r="B6410" t="s">
        <v>35</v>
      </c>
      <c r="E6410" s="3">
        <f>HYPERLINK("https://sao.dolgi.msk.ru/account/1404122586/", 1404122586)</f>
        <v>1404122586</v>
      </c>
      <c r="F6410">
        <v>-5471.92</v>
      </c>
    </row>
    <row r="6411" spans="1:6" hidden="1" x14ac:dyDescent="0.25">
      <c r="A6411" t="s">
        <v>675</v>
      </c>
      <c r="B6411" t="s">
        <v>36</v>
      </c>
      <c r="E6411" s="3">
        <f>HYPERLINK("https://sao.dolgi.msk.ru/account/1404123036/", 1404123036)</f>
        <v>1404123036</v>
      </c>
      <c r="F6411">
        <v>-7621.11</v>
      </c>
    </row>
    <row r="6412" spans="1:6" hidden="1" x14ac:dyDescent="0.25">
      <c r="A6412" t="s">
        <v>675</v>
      </c>
      <c r="B6412" t="s">
        <v>37</v>
      </c>
      <c r="E6412" s="3">
        <f>HYPERLINK("https://sao.dolgi.msk.ru/account/1404122594/", 1404122594)</f>
        <v>1404122594</v>
      </c>
      <c r="F6412">
        <v>0</v>
      </c>
    </row>
    <row r="6413" spans="1:6" hidden="1" x14ac:dyDescent="0.25">
      <c r="A6413" t="s">
        <v>675</v>
      </c>
      <c r="B6413" t="s">
        <v>38</v>
      </c>
      <c r="E6413" s="3">
        <f>HYPERLINK("https://sao.dolgi.msk.ru/account/1404122404/", 1404122404)</f>
        <v>1404122404</v>
      </c>
      <c r="F6413">
        <v>-12394.58</v>
      </c>
    </row>
    <row r="6414" spans="1:6" hidden="1" x14ac:dyDescent="0.25">
      <c r="A6414" t="s">
        <v>675</v>
      </c>
      <c r="B6414" t="s">
        <v>39</v>
      </c>
      <c r="E6414" s="3">
        <f>HYPERLINK("https://sao.dolgi.msk.ru/account/1404123407/", 1404123407)</f>
        <v>1404123407</v>
      </c>
      <c r="F6414">
        <v>-5626.56</v>
      </c>
    </row>
    <row r="6415" spans="1:6" hidden="1" x14ac:dyDescent="0.25">
      <c r="A6415" t="s">
        <v>675</v>
      </c>
      <c r="B6415" t="s">
        <v>40</v>
      </c>
      <c r="E6415" s="3">
        <f>HYPERLINK("https://sao.dolgi.msk.ru/account/1404123415/", 1404123415)</f>
        <v>1404123415</v>
      </c>
      <c r="F6415">
        <v>-5014.2299999999996</v>
      </c>
    </row>
    <row r="6416" spans="1:6" hidden="1" x14ac:dyDescent="0.25">
      <c r="A6416" t="s">
        <v>675</v>
      </c>
      <c r="B6416" t="s">
        <v>41</v>
      </c>
      <c r="E6416" s="3">
        <f>HYPERLINK("https://sao.dolgi.msk.ru/account/1404122826/", 1404122826)</f>
        <v>1404122826</v>
      </c>
      <c r="F6416">
        <v>-215.24</v>
      </c>
    </row>
    <row r="6417" spans="1:6" hidden="1" x14ac:dyDescent="0.25">
      <c r="A6417" t="s">
        <v>675</v>
      </c>
      <c r="B6417" t="s">
        <v>42</v>
      </c>
      <c r="E6417" s="3">
        <f>HYPERLINK("https://sao.dolgi.msk.ru/account/1404123773/", 1404123773)</f>
        <v>1404123773</v>
      </c>
      <c r="F6417">
        <v>-2280.67</v>
      </c>
    </row>
    <row r="6418" spans="1:6" hidden="1" x14ac:dyDescent="0.25">
      <c r="A6418" t="s">
        <v>675</v>
      </c>
      <c r="B6418" t="s">
        <v>43</v>
      </c>
      <c r="E6418" s="3">
        <f>HYPERLINK("https://sao.dolgi.msk.ru/account/1404123781/", 1404123781)</f>
        <v>1404123781</v>
      </c>
      <c r="F6418">
        <v>-3900.62</v>
      </c>
    </row>
    <row r="6419" spans="1:6" hidden="1" x14ac:dyDescent="0.25">
      <c r="A6419" t="s">
        <v>675</v>
      </c>
      <c r="B6419" t="s">
        <v>44</v>
      </c>
      <c r="E6419" s="3">
        <f>HYPERLINK("https://sao.dolgi.msk.ru/account/1404123044/", 1404123044)</f>
        <v>1404123044</v>
      </c>
      <c r="F6419">
        <v>0</v>
      </c>
    </row>
    <row r="6420" spans="1:6" hidden="1" x14ac:dyDescent="0.25">
      <c r="A6420" t="s">
        <v>675</v>
      </c>
      <c r="B6420" t="s">
        <v>45</v>
      </c>
      <c r="E6420" s="3">
        <f>HYPERLINK("https://sao.dolgi.msk.ru/account/1404122834/", 1404122834)</f>
        <v>1404122834</v>
      </c>
      <c r="F6420">
        <v>-1344.01</v>
      </c>
    </row>
    <row r="6421" spans="1:6" hidden="1" x14ac:dyDescent="0.25">
      <c r="A6421" t="s">
        <v>675</v>
      </c>
      <c r="B6421" t="s">
        <v>45</v>
      </c>
      <c r="E6421" s="3">
        <f>HYPERLINK("https://sao.dolgi.msk.ru/account/1404123693/", 1404123693)</f>
        <v>1404123693</v>
      </c>
      <c r="F6421">
        <v>-1242.58</v>
      </c>
    </row>
    <row r="6422" spans="1:6" hidden="1" x14ac:dyDescent="0.25">
      <c r="A6422" t="s">
        <v>675</v>
      </c>
      <c r="B6422" t="s">
        <v>46</v>
      </c>
      <c r="E6422" s="3">
        <f>HYPERLINK("https://sao.dolgi.msk.ru/account/1404123423/", 1404123423)</f>
        <v>1404123423</v>
      </c>
      <c r="F6422">
        <v>-4279.45</v>
      </c>
    </row>
    <row r="6423" spans="1:6" hidden="1" x14ac:dyDescent="0.25">
      <c r="A6423" t="s">
        <v>675</v>
      </c>
      <c r="B6423" t="s">
        <v>47</v>
      </c>
      <c r="E6423" s="3">
        <f>HYPERLINK("https://sao.dolgi.msk.ru/account/1404123802/", 1404123802)</f>
        <v>1404123802</v>
      </c>
      <c r="F6423">
        <v>0</v>
      </c>
    </row>
    <row r="6424" spans="1:6" hidden="1" x14ac:dyDescent="0.25">
      <c r="A6424" t="s">
        <v>675</v>
      </c>
      <c r="B6424" t="s">
        <v>48</v>
      </c>
      <c r="E6424" s="3">
        <f>HYPERLINK("https://sao.dolgi.msk.ru/account/1404122607/", 1404122607)</f>
        <v>1404122607</v>
      </c>
      <c r="F6424">
        <v>-5072.87</v>
      </c>
    </row>
    <row r="6425" spans="1:6" hidden="1" x14ac:dyDescent="0.25">
      <c r="A6425" t="s">
        <v>675</v>
      </c>
      <c r="B6425" t="s">
        <v>49</v>
      </c>
      <c r="E6425" s="3">
        <f>HYPERLINK("https://sao.dolgi.msk.ru/account/1404122615/", 1404122615)</f>
        <v>1404122615</v>
      </c>
      <c r="F6425">
        <v>-4291.08</v>
      </c>
    </row>
    <row r="6426" spans="1:6" hidden="1" x14ac:dyDescent="0.25">
      <c r="A6426" t="s">
        <v>675</v>
      </c>
      <c r="B6426" t="s">
        <v>50</v>
      </c>
      <c r="E6426" s="3">
        <f>HYPERLINK("https://sao.dolgi.msk.ru/account/1404122842/", 1404122842)</f>
        <v>1404122842</v>
      </c>
      <c r="F6426">
        <v>-3883.75</v>
      </c>
    </row>
    <row r="6427" spans="1:6" hidden="1" x14ac:dyDescent="0.25">
      <c r="A6427" t="s">
        <v>675</v>
      </c>
      <c r="B6427" t="s">
        <v>51</v>
      </c>
      <c r="E6427" s="3">
        <f>HYPERLINK("https://sao.dolgi.msk.ru/account/1404123431/", 1404123431)</f>
        <v>1404123431</v>
      </c>
      <c r="F6427">
        <v>-3889.75</v>
      </c>
    </row>
    <row r="6428" spans="1:6" x14ac:dyDescent="0.25">
      <c r="A6428" t="s">
        <v>675</v>
      </c>
      <c r="B6428" t="s">
        <v>52</v>
      </c>
      <c r="C6428" s="5" t="str">
        <f>" кв. "&amp;B6428</f>
        <v xml:space="preserve"> кв. 48</v>
      </c>
      <c r="D6428" s="5" t="str">
        <f>CONCATENATE(A6428,C6428)</f>
        <v>Ленинградское шоссе, дом 100 кв. 48</v>
      </c>
      <c r="E6428" s="3">
        <f>HYPERLINK("https://sao.dolgi.msk.ru/account/1404123829/", 1404123829)</f>
        <v>1404123829</v>
      </c>
      <c r="F6428">
        <v>3648.34</v>
      </c>
    </row>
    <row r="6429" spans="1:6" hidden="1" x14ac:dyDescent="0.25">
      <c r="A6429" t="s">
        <v>675</v>
      </c>
      <c r="B6429" t="s">
        <v>53</v>
      </c>
      <c r="E6429" s="3">
        <f>HYPERLINK("https://sao.dolgi.msk.ru/account/1404123458/", 1404123458)</f>
        <v>1404123458</v>
      </c>
      <c r="F6429">
        <v>-5178</v>
      </c>
    </row>
    <row r="6430" spans="1:6" hidden="1" x14ac:dyDescent="0.25">
      <c r="A6430" t="s">
        <v>675</v>
      </c>
      <c r="B6430" t="s">
        <v>54</v>
      </c>
      <c r="E6430" s="3">
        <f>HYPERLINK("https://sao.dolgi.msk.ru/account/1404122623/", 1404122623)</f>
        <v>1404122623</v>
      </c>
      <c r="F6430">
        <v>-8205.23</v>
      </c>
    </row>
    <row r="6431" spans="1:6" hidden="1" x14ac:dyDescent="0.25">
      <c r="A6431" t="s">
        <v>675</v>
      </c>
      <c r="B6431" t="s">
        <v>55</v>
      </c>
      <c r="E6431" s="3">
        <f>HYPERLINK("https://sao.dolgi.msk.ru/account/1404122631/", 1404122631)</f>
        <v>1404122631</v>
      </c>
      <c r="F6431">
        <v>-4929.41</v>
      </c>
    </row>
    <row r="6432" spans="1:6" hidden="1" x14ac:dyDescent="0.25">
      <c r="A6432" t="s">
        <v>675</v>
      </c>
      <c r="B6432" t="s">
        <v>55</v>
      </c>
      <c r="E6432" s="3">
        <f>HYPERLINK("https://sao.dolgi.msk.ru/account/1404123503/", 1404123503)</f>
        <v>1404123503</v>
      </c>
      <c r="F6432">
        <v>-2509.2600000000002</v>
      </c>
    </row>
    <row r="6433" spans="1:6" hidden="1" x14ac:dyDescent="0.25">
      <c r="A6433" t="s">
        <v>675</v>
      </c>
      <c r="B6433" t="s">
        <v>56</v>
      </c>
      <c r="E6433" s="3">
        <f>HYPERLINK("https://sao.dolgi.msk.ru/account/1404123204/", 1404123204)</f>
        <v>1404123204</v>
      </c>
      <c r="F6433">
        <v>-5090.16</v>
      </c>
    </row>
    <row r="6434" spans="1:6" hidden="1" x14ac:dyDescent="0.25">
      <c r="A6434" t="s">
        <v>675</v>
      </c>
      <c r="B6434" t="s">
        <v>57</v>
      </c>
      <c r="E6434" s="3">
        <f>HYPERLINK("https://sao.dolgi.msk.ru/account/1404122869/", 1404122869)</f>
        <v>1404122869</v>
      </c>
      <c r="F6434">
        <v>-2456.4899999999998</v>
      </c>
    </row>
    <row r="6435" spans="1:6" hidden="1" x14ac:dyDescent="0.25">
      <c r="A6435" t="s">
        <v>675</v>
      </c>
      <c r="B6435" t="s">
        <v>58</v>
      </c>
      <c r="E6435" s="3">
        <f>HYPERLINK("https://sao.dolgi.msk.ru/account/1404123212/", 1404123212)</f>
        <v>1404123212</v>
      </c>
      <c r="F6435">
        <v>0</v>
      </c>
    </row>
    <row r="6436" spans="1:6" hidden="1" x14ac:dyDescent="0.25">
      <c r="A6436" t="s">
        <v>675</v>
      </c>
      <c r="B6436" t="s">
        <v>59</v>
      </c>
      <c r="E6436" s="3">
        <f>HYPERLINK("https://sao.dolgi.msk.ru/account/1404123052/", 1404123052)</f>
        <v>1404123052</v>
      </c>
      <c r="F6436">
        <v>0</v>
      </c>
    </row>
    <row r="6437" spans="1:6" hidden="1" x14ac:dyDescent="0.25">
      <c r="A6437" t="s">
        <v>675</v>
      </c>
      <c r="B6437" t="s">
        <v>60</v>
      </c>
      <c r="E6437" s="3">
        <f>HYPERLINK("https://sao.dolgi.msk.ru/account/1404122658/", 1404122658)</f>
        <v>1404122658</v>
      </c>
      <c r="F6437">
        <v>0</v>
      </c>
    </row>
    <row r="6438" spans="1:6" hidden="1" x14ac:dyDescent="0.25">
      <c r="A6438" t="s">
        <v>675</v>
      </c>
      <c r="B6438" t="s">
        <v>61</v>
      </c>
      <c r="E6438" s="3">
        <f>HYPERLINK("https://sao.dolgi.msk.ru/account/1404122666/", 1404122666)</f>
        <v>1404122666</v>
      </c>
      <c r="F6438">
        <v>-2231.83</v>
      </c>
    </row>
    <row r="6439" spans="1:6" hidden="1" x14ac:dyDescent="0.25">
      <c r="A6439" t="s">
        <v>675</v>
      </c>
      <c r="B6439" t="s">
        <v>62</v>
      </c>
      <c r="E6439" s="3">
        <f>HYPERLINK("https://sao.dolgi.msk.ru/account/1404122877/", 1404122877)</f>
        <v>1404122877</v>
      </c>
      <c r="F6439">
        <v>-4951.3999999999996</v>
      </c>
    </row>
    <row r="6440" spans="1:6" hidden="1" x14ac:dyDescent="0.25">
      <c r="A6440" t="s">
        <v>675</v>
      </c>
      <c r="B6440" t="s">
        <v>63</v>
      </c>
      <c r="E6440" s="3">
        <f>HYPERLINK("https://sao.dolgi.msk.ru/account/1404122885/", 1404122885)</f>
        <v>1404122885</v>
      </c>
      <c r="F6440">
        <v>-1049.31</v>
      </c>
    </row>
    <row r="6441" spans="1:6" hidden="1" x14ac:dyDescent="0.25">
      <c r="A6441" t="s">
        <v>675</v>
      </c>
      <c r="B6441" t="s">
        <v>64</v>
      </c>
      <c r="E6441" s="3">
        <f>HYPERLINK("https://sao.dolgi.msk.ru/account/1404123634/", 1404123634)</f>
        <v>1404123634</v>
      </c>
      <c r="F6441">
        <v>0</v>
      </c>
    </row>
    <row r="6442" spans="1:6" hidden="1" x14ac:dyDescent="0.25">
      <c r="A6442" t="s">
        <v>675</v>
      </c>
      <c r="B6442" t="s">
        <v>65</v>
      </c>
      <c r="E6442" s="3">
        <f>HYPERLINK("https://sao.dolgi.msk.ru/account/1404123239/", 1404123239)</f>
        <v>1404123239</v>
      </c>
      <c r="F6442">
        <v>-679.75</v>
      </c>
    </row>
    <row r="6443" spans="1:6" hidden="1" x14ac:dyDescent="0.25">
      <c r="A6443" t="s">
        <v>675</v>
      </c>
      <c r="B6443" t="s">
        <v>65</v>
      </c>
      <c r="E6443" s="3">
        <f>HYPERLINK("https://sao.dolgi.msk.ru/account/1404123888/", 1404123888)</f>
        <v>1404123888</v>
      </c>
      <c r="F6443">
        <v>-3171.09</v>
      </c>
    </row>
    <row r="6444" spans="1:6" hidden="1" x14ac:dyDescent="0.25">
      <c r="A6444" t="s">
        <v>675</v>
      </c>
      <c r="B6444" t="s">
        <v>66</v>
      </c>
      <c r="E6444" s="3">
        <f>HYPERLINK("https://sao.dolgi.msk.ru/account/1404122439/", 1404122439)</f>
        <v>1404122439</v>
      </c>
      <c r="F6444">
        <v>-1910.41</v>
      </c>
    </row>
    <row r="6445" spans="1:6" x14ac:dyDescent="0.25">
      <c r="A6445" t="s">
        <v>675</v>
      </c>
      <c r="B6445" t="s">
        <v>67</v>
      </c>
      <c r="C6445" s="5" t="str">
        <f>" кв. "&amp;B6445</f>
        <v xml:space="preserve"> кв. 63</v>
      </c>
      <c r="D6445" s="5" t="str">
        <f>CONCATENATE(A6445,C6445)</f>
        <v>Ленинградское шоссе, дом 100 кв. 63</v>
      </c>
      <c r="E6445" s="3">
        <f>HYPERLINK("https://sao.dolgi.msk.ru/account/1404122674/", 1404122674)</f>
        <v>1404122674</v>
      </c>
      <c r="F6445">
        <v>28763.58</v>
      </c>
    </row>
    <row r="6446" spans="1:6" hidden="1" x14ac:dyDescent="0.25">
      <c r="A6446" t="s">
        <v>675</v>
      </c>
      <c r="B6446" t="s">
        <v>68</v>
      </c>
      <c r="E6446" s="3">
        <f>HYPERLINK("https://sao.dolgi.msk.ru/account/1404123079/", 1404123079)</f>
        <v>1404123079</v>
      </c>
      <c r="F6446">
        <v>0</v>
      </c>
    </row>
    <row r="6447" spans="1:6" hidden="1" x14ac:dyDescent="0.25">
      <c r="A6447" t="s">
        <v>675</v>
      </c>
      <c r="B6447" t="s">
        <v>69</v>
      </c>
      <c r="E6447" s="3">
        <f>HYPERLINK("https://sao.dolgi.msk.ru/account/1404123853/", 1404123853)</f>
        <v>1404123853</v>
      </c>
      <c r="F6447">
        <v>-5119.7299999999996</v>
      </c>
    </row>
    <row r="6448" spans="1:6" hidden="1" x14ac:dyDescent="0.25">
      <c r="A6448" t="s">
        <v>675</v>
      </c>
      <c r="B6448" t="s">
        <v>70</v>
      </c>
      <c r="E6448" s="3">
        <f>HYPERLINK("https://sao.dolgi.msk.ru/account/1404123087/", 1404123087)</f>
        <v>1404123087</v>
      </c>
      <c r="F6448">
        <v>-4766.6400000000003</v>
      </c>
    </row>
    <row r="6449" spans="1:6" hidden="1" x14ac:dyDescent="0.25">
      <c r="A6449" t="s">
        <v>675</v>
      </c>
      <c r="B6449" t="s">
        <v>71</v>
      </c>
      <c r="E6449" s="3">
        <f>HYPERLINK("https://sao.dolgi.msk.ru/account/1404123247/", 1404123247)</f>
        <v>1404123247</v>
      </c>
      <c r="F6449">
        <v>-3598.04</v>
      </c>
    </row>
    <row r="6450" spans="1:6" hidden="1" x14ac:dyDescent="0.25">
      <c r="A6450" t="s">
        <v>675</v>
      </c>
      <c r="B6450" t="s">
        <v>72</v>
      </c>
      <c r="E6450" s="3">
        <f>HYPERLINK("https://sao.dolgi.msk.ru/account/1404122893/", 1404122893)</f>
        <v>1404122893</v>
      </c>
      <c r="F6450">
        <v>-10035.08</v>
      </c>
    </row>
    <row r="6451" spans="1:6" hidden="1" x14ac:dyDescent="0.25">
      <c r="A6451" t="s">
        <v>675</v>
      </c>
      <c r="B6451" t="s">
        <v>73</v>
      </c>
      <c r="E6451" s="3">
        <f>HYPERLINK("https://sao.dolgi.msk.ru/account/1404123642/", 1404123642)</f>
        <v>1404123642</v>
      </c>
      <c r="F6451">
        <v>-1.54</v>
      </c>
    </row>
    <row r="6452" spans="1:6" x14ac:dyDescent="0.25">
      <c r="A6452" t="s">
        <v>675</v>
      </c>
      <c r="B6452" t="s">
        <v>74</v>
      </c>
      <c r="C6452" s="5" t="str">
        <f>" кв. "&amp;B6452</f>
        <v xml:space="preserve"> кв. 70</v>
      </c>
      <c r="D6452" s="5" t="str">
        <f>CONCATENATE(A6452,C6452)</f>
        <v>Ленинградское шоссе, дом 100 кв. 70</v>
      </c>
      <c r="E6452" s="3">
        <f>HYPERLINK("https://sao.dolgi.msk.ru/account/1404122906/", 1404122906)</f>
        <v>1404122906</v>
      </c>
      <c r="F6452">
        <v>4507.4399999999996</v>
      </c>
    </row>
    <row r="6453" spans="1:6" hidden="1" x14ac:dyDescent="0.25">
      <c r="A6453" t="s">
        <v>675</v>
      </c>
      <c r="B6453" t="s">
        <v>75</v>
      </c>
      <c r="E6453" s="3">
        <f>HYPERLINK("https://sao.dolgi.msk.ru/account/1404123263/", 1404123263)</f>
        <v>1404123263</v>
      </c>
      <c r="F6453">
        <v>-567.86</v>
      </c>
    </row>
    <row r="6454" spans="1:6" hidden="1" x14ac:dyDescent="0.25">
      <c r="A6454" t="s">
        <v>675</v>
      </c>
      <c r="B6454" t="s">
        <v>76</v>
      </c>
      <c r="E6454" s="3">
        <f>HYPERLINK("https://sao.dolgi.msk.ru/account/1404122682/", 1404122682)</f>
        <v>1404122682</v>
      </c>
      <c r="F6454">
        <v>0</v>
      </c>
    </row>
    <row r="6455" spans="1:6" hidden="1" x14ac:dyDescent="0.25">
      <c r="A6455" t="s">
        <v>675</v>
      </c>
      <c r="B6455" t="s">
        <v>77</v>
      </c>
      <c r="E6455" s="3">
        <f>HYPERLINK("https://sao.dolgi.msk.ru/account/1404123095/", 1404123095)</f>
        <v>1404123095</v>
      </c>
      <c r="F6455">
        <v>-2933.65</v>
      </c>
    </row>
    <row r="6456" spans="1:6" hidden="1" x14ac:dyDescent="0.25">
      <c r="A6456" t="s">
        <v>675</v>
      </c>
      <c r="B6456" t="s">
        <v>77</v>
      </c>
      <c r="E6456" s="3">
        <f>HYPERLINK("https://sao.dolgi.msk.ru/account/1404123482/", 1404123482)</f>
        <v>1404123482</v>
      </c>
      <c r="F6456">
        <v>-1790.17</v>
      </c>
    </row>
    <row r="6457" spans="1:6" hidden="1" x14ac:dyDescent="0.25">
      <c r="A6457" t="s">
        <v>675</v>
      </c>
      <c r="B6457" t="s">
        <v>78</v>
      </c>
      <c r="E6457" s="3">
        <f>HYPERLINK("https://sao.dolgi.msk.ru/account/1404123271/", 1404123271)</f>
        <v>1404123271</v>
      </c>
      <c r="F6457">
        <v>-2790.13</v>
      </c>
    </row>
    <row r="6458" spans="1:6" hidden="1" x14ac:dyDescent="0.25">
      <c r="A6458" t="s">
        <v>675</v>
      </c>
      <c r="B6458" t="s">
        <v>79</v>
      </c>
      <c r="E6458" s="3">
        <f>HYPERLINK("https://sao.dolgi.msk.ru/account/1404122447/", 1404122447)</f>
        <v>1404122447</v>
      </c>
      <c r="F6458">
        <v>-734.23</v>
      </c>
    </row>
    <row r="6459" spans="1:6" hidden="1" x14ac:dyDescent="0.25">
      <c r="A6459" t="s">
        <v>675</v>
      </c>
      <c r="B6459" t="s">
        <v>80</v>
      </c>
      <c r="E6459" s="3">
        <f>HYPERLINK("https://sao.dolgi.msk.ru/account/1404123466/", 1404123466)</f>
        <v>1404123466</v>
      </c>
      <c r="F6459">
        <v>-3188.02</v>
      </c>
    </row>
    <row r="6460" spans="1:6" hidden="1" x14ac:dyDescent="0.25">
      <c r="A6460" t="s">
        <v>675</v>
      </c>
      <c r="B6460" t="s">
        <v>81</v>
      </c>
      <c r="E6460" s="3">
        <f>HYPERLINK("https://sao.dolgi.msk.ru/account/1404123298/", 1404123298)</f>
        <v>1404123298</v>
      </c>
      <c r="F6460">
        <v>-5184.59</v>
      </c>
    </row>
    <row r="6461" spans="1:6" hidden="1" x14ac:dyDescent="0.25">
      <c r="A6461" t="s">
        <v>675</v>
      </c>
      <c r="B6461" t="s">
        <v>82</v>
      </c>
      <c r="E6461" s="3">
        <f>HYPERLINK("https://sao.dolgi.msk.ru/account/1404122455/", 1404122455)</f>
        <v>1404122455</v>
      </c>
      <c r="F6461">
        <v>-3629.55</v>
      </c>
    </row>
    <row r="6462" spans="1:6" hidden="1" x14ac:dyDescent="0.25">
      <c r="A6462" t="s">
        <v>675</v>
      </c>
      <c r="B6462" t="s">
        <v>83</v>
      </c>
      <c r="E6462" s="3">
        <f>HYPERLINK("https://sao.dolgi.msk.ru/account/1404122463/", 1404122463)</f>
        <v>1404122463</v>
      </c>
      <c r="F6462">
        <v>-3684.22</v>
      </c>
    </row>
    <row r="6463" spans="1:6" hidden="1" x14ac:dyDescent="0.25">
      <c r="A6463" t="s">
        <v>675</v>
      </c>
      <c r="B6463" t="s">
        <v>84</v>
      </c>
      <c r="E6463" s="3">
        <f>HYPERLINK("https://sao.dolgi.msk.ru/account/1404122471/", 1404122471)</f>
        <v>1404122471</v>
      </c>
      <c r="F6463">
        <v>-4839.9799999999996</v>
      </c>
    </row>
    <row r="6464" spans="1:6" hidden="1" x14ac:dyDescent="0.25">
      <c r="A6464" t="s">
        <v>675</v>
      </c>
      <c r="B6464" t="s">
        <v>85</v>
      </c>
      <c r="E6464" s="3">
        <f>HYPERLINK("https://sao.dolgi.msk.ru/account/1404122957/", 1404122957)</f>
        <v>1404122957</v>
      </c>
      <c r="F6464">
        <v>-4525.07</v>
      </c>
    </row>
    <row r="6465" spans="1:6" hidden="1" x14ac:dyDescent="0.25">
      <c r="A6465" t="s">
        <v>675</v>
      </c>
      <c r="B6465" t="s">
        <v>86</v>
      </c>
      <c r="E6465" s="3">
        <f>HYPERLINK("https://sao.dolgi.msk.ru/account/1404122703/", 1404122703)</f>
        <v>1404122703</v>
      </c>
      <c r="F6465">
        <v>0</v>
      </c>
    </row>
    <row r="6466" spans="1:6" hidden="1" x14ac:dyDescent="0.25">
      <c r="A6466" t="s">
        <v>675</v>
      </c>
      <c r="B6466" t="s">
        <v>87</v>
      </c>
      <c r="E6466" s="3">
        <f>HYPERLINK("https://sao.dolgi.msk.ru/account/1404123319/", 1404123319)</f>
        <v>1404123319</v>
      </c>
      <c r="F6466">
        <v>-3413.82</v>
      </c>
    </row>
    <row r="6467" spans="1:6" hidden="1" x14ac:dyDescent="0.25">
      <c r="A6467" t="s">
        <v>675</v>
      </c>
      <c r="B6467" t="s">
        <v>88</v>
      </c>
      <c r="E6467" s="3">
        <f>HYPERLINK("https://sao.dolgi.msk.ru/account/1404123669/", 1404123669)</f>
        <v>1404123669</v>
      </c>
      <c r="F6467">
        <v>0</v>
      </c>
    </row>
    <row r="6468" spans="1:6" hidden="1" x14ac:dyDescent="0.25">
      <c r="A6468" t="s">
        <v>675</v>
      </c>
      <c r="B6468" t="s">
        <v>89</v>
      </c>
      <c r="E6468" s="3">
        <f>HYPERLINK("https://sao.dolgi.msk.ru/account/1404122711/", 1404122711)</f>
        <v>1404122711</v>
      </c>
      <c r="F6468">
        <v>-3517.89</v>
      </c>
    </row>
    <row r="6469" spans="1:6" hidden="1" x14ac:dyDescent="0.25">
      <c r="A6469" t="s">
        <v>675</v>
      </c>
      <c r="B6469" t="s">
        <v>90</v>
      </c>
      <c r="E6469" s="3">
        <f>HYPERLINK("https://sao.dolgi.msk.ru/account/1404122914/", 1404122914)</f>
        <v>1404122914</v>
      </c>
      <c r="F6469">
        <v>-1262.08</v>
      </c>
    </row>
    <row r="6470" spans="1:6" hidden="1" x14ac:dyDescent="0.25">
      <c r="A6470" t="s">
        <v>675</v>
      </c>
      <c r="B6470" t="s">
        <v>91</v>
      </c>
      <c r="E6470" s="3">
        <f>HYPERLINK("https://sao.dolgi.msk.ru/account/1404122738/", 1404122738)</f>
        <v>1404122738</v>
      </c>
      <c r="F6470">
        <v>-6721.09</v>
      </c>
    </row>
    <row r="6471" spans="1:6" hidden="1" x14ac:dyDescent="0.25">
      <c r="A6471" t="s">
        <v>675</v>
      </c>
      <c r="B6471" t="s">
        <v>92</v>
      </c>
      <c r="E6471" s="3">
        <f>HYPERLINK("https://sao.dolgi.msk.ru/account/1404122762/", 1404122762)</f>
        <v>1404122762</v>
      </c>
      <c r="F6471">
        <v>-1386.22</v>
      </c>
    </row>
    <row r="6472" spans="1:6" hidden="1" x14ac:dyDescent="0.25">
      <c r="A6472" t="s">
        <v>675</v>
      </c>
      <c r="B6472" t="s">
        <v>92</v>
      </c>
      <c r="E6472" s="3">
        <f>HYPERLINK("https://sao.dolgi.msk.ru/account/1404122922/", 1404122922)</f>
        <v>1404122922</v>
      </c>
      <c r="F6472">
        <v>-1420.94</v>
      </c>
    </row>
    <row r="6473" spans="1:6" hidden="1" x14ac:dyDescent="0.25">
      <c r="A6473" t="s">
        <v>675</v>
      </c>
      <c r="B6473" t="s">
        <v>92</v>
      </c>
      <c r="E6473" s="3">
        <f>HYPERLINK("https://sao.dolgi.msk.ru/account/1404123896/", 1404123896)</f>
        <v>1404123896</v>
      </c>
      <c r="F6473">
        <v>-1368.61</v>
      </c>
    </row>
    <row r="6474" spans="1:6" hidden="1" x14ac:dyDescent="0.25">
      <c r="A6474" t="s">
        <v>675</v>
      </c>
      <c r="B6474" t="s">
        <v>93</v>
      </c>
      <c r="E6474" s="3">
        <f>HYPERLINK("https://sao.dolgi.msk.ru/account/1404123327/", 1404123327)</f>
        <v>1404123327</v>
      </c>
      <c r="F6474">
        <v>-2513.38</v>
      </c>
    </row>
    <row r="6475" spans="1:6" hidden="1" x14ac:dyDescent="0.25">
      <c r="A6475" t="s">
        <v>675</v>
      </c>
      <c r="B6475" t="s">
        <v>94</v>
      </c>
      <c r="E6475" s="3">
        <f>HYPERLINK("https://sao.dolgi.msk.ru/account/1404123116/", 1404123116)</f>
        <v>1404123116</v>
      </c>
      <c r="F6475">
        <v>-2131.85</v>
      </c>
    </row>
    <row r="6476" spans="1:6" hidden="1" x14ac:dyDescent="0.25">
      <c r="A6476" t="s">
        <v>675</v>
      </c>
      <c r="B6476" t="s">
        <v>95</v>
      </c>
      <c r="E6476" s="3">
        <f>HYPERLINK("https://sao.dolgi.msk.ru/account/1404123474/", 1404123474)</f>
        <v>1404123474</v>
      </c>
      <c r="F6476">
        <v>-1070.53</v>
      </c>
    </row>
    <row r="6477" spans="1:6" hidden="1" x14ac:dyDescent="0.25">
      <c r="A6477" t="s">
        <v>675</v>
      </c>
      <c r="B6477" t="s">
        <v>96</v>
      </c>
      <c r="E6477" s="3">
        <f>HYPERLINK("https://sao.dolgi.msk.ru/account/1404122519/", 1404122519)</f>
        <v>1404122519</v>
      </c>
      <c r="F6477">
        <v>-3907.46</v>
      </c>
    </row>
    <row r="6478" spans="1:6" x14ac:dyDescent="0.25">
      <c r="A6478" t="s">
        <v>675</v>
      </c>
      <c r="B6478" t="s">
        <v>97</v>
      </c>
      <c r="C6478" s="5" t="str">
        <f t="shared" ref="C6478:C6480" si="265">" кв. "&amp;B6478</f>
        <v xml:space="preserve"> кв. 93</v>
      </c>
      <c r="D6478" s="5" t="str">
        <f>CONCATENATE(A6478,C6478)</f>
        <v>Ленинградское шоссе, дом 100 кв. 93</v>
      </c>
      <c r="E6478" s="3">
        <f>HYPERLINK("https://sao.dolgi.msk.ru/account/1404122746/", 1404122746)</f>
        <v>1404122746</v>
      </c>
      <c r="F6478">
        <v>8547.2199999999993</v>
      </c>
    </row>
    <row r="6479" spans="1:6" x14ac:dyDescent="0.25">
      <c r="A6479" t="s">
        <v>675</v>
      </c>
      <c r="B6479" t="s">
        <v>98</v>
      </c>
      <c r="C6479" s="5" t="str">
        <f t="shared" si="265"/>
        <v xml:space="preserve"> кв. 94</v>
      </c>
      <c r="D6479" s="5" t="str">
        <f>CONCATENATE(A6479,C6479)</f>
        <v>Ленинградское шоссе, дом 100 кв. 94</v>
      </c>
      <c r="E6479" s="3">
        <f>HYPERLINK("https://sao.dolgi.msk.ru/account/1404122754/", 1404122754)</f>
        <v>1404122754</v>
      </c>
      <c r="F6479">
        <v>8940.43</v>
      </c>
    </row>
    <row r="6480" spans="1:6" x14ac:dyDescent="0.25">
      <c r="A6480" t="s">
        <v>675</v>
      </c>
      <c r="B6480" t="s">
        <v>99</v>
      </c>
      <c r="C6480" s="5" t="str">
        <f t="shared" si="265"/>
        <v xml:space="preserve"> кв. 95</v>
      </c>
      <c r="D6480" s="5" t="str">
        <f>CONCATENATE(A6480,C6480)</f>
        <v>Ленинградское шоссе, дом 100 кв. 95</v>
      </c>
      <c r="E6480" s="3">
        <f>HYPERLINK("https://sao.dolgi.msk.ru/account/1404123124/", 1404123124)</f>
        <v>1404123124</v>
      </c>
      <c r="F6480">
        <v>42.98</v>
      </c>
    </row>
    <row r="6481" spans="1:6" hidden="1" x14ac:dyDescent="0.25">
      <c r="A6481" t="s">
        <v>675</v>
      </c>
      <c r="B6481" t="s">
        <v>100</v>
      </c>
      <c r="E6481" s="3">
        <f>HYPERLINK("https://sao.dolgi.msk.ru/account/1404122949/", 1404122949)</f>
        <v>1404122949</v>
      </c>
      <c r="F6481">
        <v>-5199.8900000000003</v>
      </c>
    </row>
    <row r="6482" spans="1:6" hidden="1" x14ac:dyDescent="0.25">
      <c r="A6482" t="s">
        <v>675</v>
      </c>
      <c r="B6482" t="s">
        <v>101</v>
      </c>
      <c r="E6482" s="3">
        <f>HYPERLINK("https://sao.dolgi.msk.ru/account/1404123677/", 1404123677)</f>
        <v>1404123677</v>
      </c>
      <c r="F6482">
        <v>-5357.94</v>
      </c>
    </row>
    <row r="6483" spans="1:6" hidden="1" x14ac:dyDescent="0.25">
      <c r="A6483" t="s">
        <v>675</v>
      </c>
      <c r="B6483" t="s">
        <v>102</v>
      </c>
      <c r="E6483" s="3">
        <f>HYPERLINK("https://sao.dolgi.msk.ru/account/1404123685/", 1404123685)</f>
        <v>1404123685</v>
      </c>
      <c r="F6483">
        <v>0</v>
      </c>
    </row>
    <row r="6484" spans="1:6" hidden="1" x14ac:dyDescent="0.25">
      <c r="A6484" t="s">
        <v>675</v>
      </c>
      <c r="B6484" t="s">
        <v>103</v>
      </c>
      <c r="E6484" s="3">
        <f>HYPERLINK("https://sao.dolgi.msk.ru/account/1404123335/", 1404123335)</f>
        <v>1404123335</v>
      </c>
      <c r="F6484">
        <v>-3361.41</v>
      </c>
    </row>
    <row r="6485" spans="1:6" hidden="1" x14ac:dyDescent="0.25">
      <c r="A6485" t="s">
        <v>675</v>
      </c>
      <c r="B6485" t="s">
        <v>103</v>
      </c>
      <c r="E6485" s="3">
        <f>HYPERLINK("https://sao.dolgi.msk.ru/account/1404123861/", 1404123861)</f>
        <v>1404123861</v>
      </c>
      <c r="F6485">
        <v>-1558.6</v>
      </c>
    </row>
    <row r="6486" spans="1:6" hidden="1" x14ac:dyDescent="0.25">
      <c r="A6486" t="s">
        <v>675</v>
      </c>
      <c r="B6486" t="s">
        <v>104</v>
      </c>
      <c r="E6486" s="3">
        <f>HYPERLINK("https://sao.dolgi.msk.ru/account/1404122973/", 1404122973)</f>
        <v>1404122973</v>
      </c>
      <c r="F6486">
        <v>-4007.95</v>
      </c>
    </row>
    <row r="6487" spans="1:6" hidden="1" x14ac:dyDescent="0.25">
      <c r="A6487" t="s">
        <v>675</v>
      </c>
      <c r="B6487" t="s">
        <v>105</v>
      </c>
      <c r="E6487" s="3">
        <f>HYPERLINK("https://sao.dolgi.msk.ru/account/1404123132/", 1404123132)</f>
        <v>1404123132</v>
      </c>
      <c r="F6487">
        <v>-7970.01</v>
      </c>
    </row>
    <row r="6488" spans="1:6" hidden="1" x14ac:dyDescent="0.25">
      <c r="A6488" t="s">
        <v>675</v>
      </c>
      <c r="B6488" t="s">
        <v>106</v>
      </c>
      <c r="E6488" s="3">
        <f>HYPERLINK("https://sao.dolgi.msk.ru/account/1404123511/", 1404123511)</f>
        <v>1404123511</v>
      </c>
      <c r="F6488">
        <v>-5185.3100000000004</v>
      </c>
    </row>
    <row r="6489" spans="1:6" x14ac:dyDescent="0.25">
      <c r="A6489" t="s">
        <v>675</v>
      </c>
      <c r="B6489" t="s">
        <v>107</v>
      </c>
      <c r="C6489" s="5" t="str">
        <f>" кв. "&amp;B6489</f>
        <v xml:space="preserve"> кв. 103</v>
      </c>
      <c r="D6489" s="5" t="str">
        <f>CONCATENATE(A6489,C6489)</f>
        <v>Ленинградское шоссе, дом 100 кв. 103</v>
      </c>
      <c r="E6489" s="3">
        <f>HYPERLINK("https://sao.dolgi.msk.ru/account/1404122981/", 1404122981)</f>
        <v>1404122981</v>
      </c>
      <c r="F6489">
        <v>3265.12</v>
      </c>
    </row>
    <row r="6490" spans="1:6" hidden="1" x14ac:dyDescent="0.25">
      <c r="A6490" t="s">
        <v>675</v>
      </c>
      <c r="B6490" t="s">
        <v>108</v>
      </c>
      <c r="E6490" s="3">
        <f>HYPERLINK("https://sao.dolgi.msk.ru/account/1404123351/", 1404123351)</f>
        <v>1404123351</v>
      </c>
      <c r="F6490">
        <v>-1728.27</v>
      </c>
    </row>
    <row r="6491" spans="1:6" hidden="1" x14ac:dyDescent="0.25">
      <c r="A6491" t="s">
        <v>675</v>
      </c>
      <c r="B6491" t="s">
        <v>109</v>
      </c>
      <c r="E6491" s="3">
        <f>HYPERLINK("https://sao.dolgi.msk.ru/account/1404123378/", 1404123378)</f>
        <v>1404123378</v>
      </c>
      <c r="F6491">
        <v>-5472.36</v>
      </c>
    </row>
    <row r="6492" spans="1:6" hidden="1" x14ac:dyDescent="0.25">
      <c r="A6492" t="s">
        <v>675</v>
      </c>
      <c r="B6492" t="s">
        <v>110</v>
      </c>
      <c r="E6492" s="3">
        <f>HYPERLINK("https://sao.dolgi.msk.ru/account/1404123538/", 1404123538)</f>
        <v>1404123538</v>
      </c>
      <c r="F6492">
        <v>-2217.2399999999998</v>
      </c>
    </row>
    <row r="6493" spans="1:6" hidden="1" x14ac:dyDescent="0.25">
      <c r="A6493" t="s">
        <v>675</v>
      </c>
      <c r="B6493" t="s">
        <v>111</v>
      </c>
      <c r="E6493" s="3">
        <f>HYPERLINK("https://sao.dolgi.msk.ru/account/1404123706/", 1404123706)</f>
        <v>1404123706</v>
      </c>
      <c r="F6493">
        <v>-3949.39</v>
      </c>
    </row>
    <row r="6494" spans="1:6" hidden="1" x14ac:dyDescent="0.25">
      <c r="A6494" t="s">
        <v>675</v>
      </c>
      <c r="B6494" t="s">
        <v>112</v>
      </c>
      <c r="E6494" s="3">
        <f>HYPERLINK("https://sao.dolgi.msk.ru/account/1404123546/", 1404123546)</f>
        <v>1404123546</v>
      </c>
      <c r="F6494">
        <v>-3128.84</v>
      </c>
    </row>
    <row r="6495" spans="1:6" hidden="1" x14ac:dyDescent="0.25">
      <c r="A6495" t="s">
        <v>675</v>
      </c>
      <c r="B6495" t="s">
        <v>113</v>
      </c>
      <c r="E6495" s="3">
        <f>HYPERLINK("https://sao.dolgi.msk.ru/account/1404122527/", 1404122527)</f>
        <v>1404122527</v>
      </c>
      <c r="F6495">
        <v>-6577.28</v>
      </c>
    </row>
    <row r="6496" spans="1:6" hidden="1" x14ac:dyDescent="0.25">
      <c r="A6496" t="s">
        <v>675</v>
      </c>
      <c r="B6496" t="s">
        <v>114</v>
      </c>
      <c r="E6496" s="3">
        <f>HYPERLINK("https://sao.dolgi.msk.ru/account/1404122789/", 1404122789)</f>
        <v>1404122789</v>
      </c>
      <c r="F6496">
        <v>-4693.4799999999996</v>
      </c>
    </row>
    <row r="6497" spans="1:6" hidden="1" x14ac:dyDescent="0.25">
      <c r="A6497" t="s">
        <v>675</v>
      </c>
      <c r="B6497" t="s">
        <v>115</v>
      </c>
      <c r="E6497" s="3">
        <f>HYPERLINK("https://sao.dolgi.msk.ru/account/1404122535/", 1404122535)</f>
        <v>1404122535</v>
      </c>
      <c r="F6497">
        <v>-4697.45</v>
      </c>
    </row>
    <row r="6498" spans="1:6" x14ac:dyDescent="0.25">
      <c r="A6498" t="s">
        <v>675</v>
      </c>
      <c r="B6498" t="s">
        <v>116</v>
      </c>
      <c r="C6498" s="5" t="str">
        <f>" кв. "&amp;B6498</f>
        <v xml:space="preserve"> кв. 112</v>
      </c>
      <c r="D6498" s="5" t="str">
        <f>CONCATENATE(A6498,C6498)</f>
        <v>Ленинградское шоссе, дом 100 кв. 112</v>
      </c>
      <c r="E6498" s="3">
        <f>HYPERLINK("https://sao.dolgi.msk.ru/account/1404123714/", 1404123714)</f>
        <v>1404123714</v>
      </c>
      <c r="F6498">
        <v>1994.59</v>
      </c>
    </row>
    <row r="6499" spans="1:6" hidden="1" x14ac:dyDescent="0.25">
      <c r="A6499" t="s">
        <v>675</v>
      </c>
      <c r="B6499" t="s">
        <v>117</v>
      </c>
      <c r="E6499" s="3">
        <f>HYPERLINK("https://sao.dolgi.msk.ru/account/1404123722/", 1404123722)</f>
        <v>1404123722</v>
      </c>
      <c r="F6499">
        <v>-4451.12</v>
      </c>
    </row>
    <row r="6500" spans="1:6" hidden="1" x14ac:dyDescent="0.25">
      <c r="A6500" t="s">
        <v>675</v>
      </c>
      <c r="B6500" t="s">
        <v>118</v>
      </c>
      <c r="E6500" s="3">
        <f>HYPERLINK("https://sao.dolgi.msk.ru/account/1404122543/", 1404122543)</f>
        <v>1404122543</v>
      </c>
      <c r="F6500">
        <v>-1345.33</v>
      </c>
    </row>
    <row r="6501" spans="1:6" hidden="1" x14ac:dyDescent="0.25">
      <c r="A6501" t="s">
        <v>675</v>
      </c>
      <c r="B6501" t="s">
        <v>119</v>
      </c>
      <c r="E6501" s="3">
        <f>HYPERLINK("https://sao.dolgi.msk.ru/account/1404123159/", 1404123159)</f>
        <v>1404123159</v>
      </c>
      <c r="F6501">
        <v>-4621.1400000000003</v>
      </c>
    </row>
    <row r="6502" spans="1:6" hidden="1" x14ac:dyDescent="0.25">
      <c r="A6502" t="s">
        <v>675</v>
      </c>
      <c r="B6502" t="s">
        <v>120</v>
      </c>
      <c r="E6502" s="3">
        <f>HYPERLINK("https://sao.dolgi.msk.ru/account/1404123386/", 1404123386)</f>
        <v>1404123386</v>
      </c>
      <c r="F6502">
        <v>-4198.3900000000003</v>
      </c>
    </row>
    <row r="6503" spans="1:6" hidden="1" x14ac:dyDescent="0.25">
      <c r="A6503" t="s">
        <v>676</v>
      </c>
      <c r="B6503" t="s">
        <v>5</v>
      </c>
      <c r="E6503" s="3">
        <f>HYPERLINK("https://sao.dolgi.msk.ru/account/1404124266/", 1404124266)</f>
        <v>1404124266</v>
      </c>
      <c r="F6503">
        <v>0</v>
      </c>
    </row>
    <row r="6504" spans="1:6" hidden="1" x14ac:dyDescent="0.25">
      <c r="A6504" t="s">
        <v>676</v>
      </c>
      <c r="B6504" t="s">
        <v>6</v>
      </c>
      <c r="E6504" s="3">
        <f>HYPERLINK("https://sao.dolgi.msk.ru/account/1404123909/", 1404123909)</f>
        <v>1404123909</v>
      </c>
      <c r="F6504">
        <v>-3797.59</v>
      </c>
    </row>
    <row r="6505" spans="1:6" x14ac:dyDescent="0.25">
      <c r="A6505" t="s">
        <v>676</v>
      </c>
      <c r="B6505" t="s">
        <v>7</v>
      </c>
      <c r="C6505" s="5" t="str">
        <f>" кв. "&amp;B6505</f>
        <v xml:space="preserve"> кв. 3</v>
      </c>
      <c r="D6505" s="5" t="str">
        <f>CONCATENATE(A6505,C6505)</f>
        <v>Ленинградское шоссе, дом 102 кв. 3</v>
      </c>
      <c r="E6505" s="3">
        <f>HYPERLINK("https://sao.dolgi.msk.ru/account/1404123917/", 1404123917)</f>
        <v>1404123917</v>
      </c>
      <c r="F6505">
        <v>35164.19</v>
      </c>
    </row>
    <row r="6506" spans="1:6" hidden="1" x14ac:dyDescent="0.25">
      <c r="A6506" t="s">
        <v>676</v>
      </c>
      <c r="B6506" t="s">
        <v>8</v>
      </c>
      <c r="E6506" s="3">
        <f>HYPERLINK("https://sao.dolgi.msk.ru/account/1404124696/", 1404124696)</f>
        <v>1404124696</v>
      </c>
      <c r="F6506">
        <v>-2993.98</v>
      </c>
    </row>
    <row r="6507" spans="1:6" hidden="1" x14ac:dyDescent="0.25">
      <c r="A6507" t="s">
        <v>676</v>
      </c>
      <c r="B6507" t="s">
        <v>9</v>
      </c>
      <c r="E6507" s="3">
        <f>HYPERLINK("https://sao.dolgi.msk.ru/account/1404124733/", 1404124733)</f>
        <v>1404124733</v>
      </c>
      <c r="F6507">
        <v>-3695.17</v>
      </c>
    </row>
    <row r="6508" spans="1:6" hidden="1" x14ac:dyDescent="0.25">
      <c r="A6508" t="s">
        <v>676</v>
      </c>
      <c r="B6508" t="s">
        <v>10</v>
      </c>
      <c r="E6508" s="3">
        <f>HYPERLINK("https://sao.dolgi.msk.ru/account/1404124768/", 1404124768)</f>
        <v>1404124768</v>
      </c>
      <c r="F6508">
        <v>0</v>
      </c>
    </row>
    <row r="6509" spans="1:6" hidden="1" x14ac:dyDescent="0.25">
      <c r="A6509" t="s">
        <v>676</v>
      </c>
      <c r="B6509" t="s">
        <v>11</v>
      </c>
      <c r="E6509" s="3">
        <f>HYPERLINK("https://sao.dolgi.msk.ru/account/1404124223/", 1404124223)</f>
        <v>1404124223</v>
      </c>
      <c r="F6509">
        <v>-3387.73</v>
      </c>
    </row>
    <row r="6510" spans="1:6" hidden="1" x14ac:dyDescent="0.25">
      <c r="A6510" t="s">
        <v>676</v>
      </c>
      <c r="B6510" t="s">
        <v>12</v>
      </c>
      <c r="E6510" s="3">
        <f>HYPERLINK("https://sao.dolgi.msk.ru/account/1404125162/", 1404125162)</f>
        <v>1404125162</v>
      </c>
      <c r="F6510">
        <v>-3948.95</v>
      </c>
    </row>
    <row r="6511" spans="1:6" x14ac:dyDescent="0.25">
      <c r="A6511" t="s">
        <v>676</v>
      </c>
      <c r="B6511" t="s">
        <v>13</v>
      </c>
      <c r="C6511" s="5" t="str">
        <f t="shared" ref="C6511:C6512" si="266">" кв. "&amp;B6511</f>
        <v xml:space="preserve"> кв. 9</v>
      </c>
      <c r="D6511" s="5" t="str">
        <f>CONCATENATE(A6511,C6511)</f>
        <v>Ленинградское шоссе, дом 102 кв. 9</v>
      </c>
      <c r="E6511" s="3">
        <f>HYPERLINK("https://sao.dolgi.msk.ru/account/1404124813/", 1404124813)</f>
        <v>1404124813</v>
      </c>
      <c r="F6511">
        <v>13988.11</v>
      </c>
    </row>
    <row r="6512" spans="1:6" x14ac:dyDescent="0.25">
      <c r="A6512" t="s">
        <v>676</v>
      </c>
      <c r="B6512" t="s">
        <v>14</v>
      </c>
      <c r="C6512" s="5" t="str">
        <f t="shared" si="266"/>
        <v xml:space="preserve"> кв. 10</v>
      </c>
      <c r="D6512" s="5" t="str">
        <f>CONCATENATE(A6512,C6512)</f>
        <v>Ленинградское шоссе, дом 102 кв. 10</v>
      </c>
      <c r="E6512" s="3">
        <f>HYPERLINK("https://sao.dolgi.msk.ru/account/1404124442/", 1404124442)</f>
        <v>1404124442</v>
      </c>
      <c r="F6512">
        <v>8963.49</v>
      </c>
    </row>
    <row r="6513" spans="1:6" hidden="1" x14ac:dyDescent="0.25">
      <c r="A6513" t="s">
        <v>676</v>
      </c>
      <c r="B6513" t="s">
        <v>15</v>
      </c>
      <c r="E6513" s="3">
        <f>HYPERLINK("https://sao.dolgi.msk.ru/account/1404124477/", 1404124477)</f>
        <v>1404124477</v>
      </c>
      <c r="F6513">
        <v>0</v>
      </c>
    </row>
    <row r="6514" spans="1:6" hidden="1" x14ac:dyDescent="0.25">
      <c r="A6514" t="s">
        <v>676</v>
      </c>
      <c r="B6514" t="s">
        <v>16</v>
      </c>
      <c r="E6514" s="3">
        <f>HYPERLINK("https://sao.dolgi.msk.ru/account/1404124485/", 1404124485)</f>
        <v>1404124485</v>
      </c>
      <c r="F6514">
        <v>-2442.5700000000002</v>
      </c>
    </row>
    <row r="6515" spans="1:6" hidden="1" x14ac:dyDescent="0.25">
      <c r="A6515" t="s">
        <v>676</v>
      </c>
      <c r="B6515" t="s">
        <v>17</v>
      </c>
      <c r="E6515" s="3">
        <f>HYPERLINK("https://sao.dolgi.msk.ru/account/1404124653/", 1404124653)</f>
        <v>1404124653</v>
      </c>
      <c r="F6515">
        <v>-51.06</v>
      </c>
    </row>
    <row r="6516" spans="1:6" hidden="1" x14ac:dyDescent="0.25">
      <c r="A6516" t="s">
        <v>676</v>
      </c>
      <c r="B6516" t="s">
        <v>18</v>
      </c>
      <c r="E6516" s="3">
        <f>HYPERLINK("https://sao.dolgi.msk.ru/account/1404124135/", 1404124135)</f>
        <v>1404124135</v>
      </c>
      <c r="F6516">
        <v>-46.1</v>
      </c>
    </row>
    <row r="6517" spans="1:6" hidden="1" x14ac:dyDescent="0.25">
      <c r="A6517" t="s">
        <v>676</v>
      </c>
      <c r="B6517" t="s">
        <v>19</v>
      </c>
      <c r="E6517" s="3">
        <f>HYPERLINK("https://sao.dolgi.msk.ru/account/1404125031/", 1404125031)</f>
        <v>1404125031</v>
      </c>
      <c r="F6517">
        <v>0</v>
      </c>
    </row>
    <row r="6518" spans="1:6" hidden="1" x14ac:dyDescent="0.25">
      <c r="A6518" t="s">
        <v>676</v>
      </c>
      <c r="B6518" t="s">
        <v>20</v>
      </c>
      <c r="E6518" s="3">
        <f>HYPERLINK("https://sao.dolgi.msk.ru/account/1404124282/", 1404124282)</f>
        <v>1404124282</v>
      </c>
      <c r="F6518">
        <v>0</v>
      </c>
    </row>
    <row r="6519" spans="1:6" hidden="1" x14ac:dyDescent="0.25">
      <c r="A6519" t="s">
        <v>676</v>
      </c>
      <c r="B6519" t="s">
        <v>21</v>
      </c>
      <c r="E6519" s="3">
        <f>HYPERLINK("https://sao.dolgi.msk.ru/account/1404124303/", 1404124303)</f>
        <v>1404124303</v>
      </c>
      <c r="F6519">
        <v>-6167.98</v>
      </c>
    </row>
    <row r="6520" spans="1:6" hidden="1" x14ac:dyDescent="0.25">
      <c r="A6520" t="s">
        <v>676</v>
      </c>
      <c r="B6520" t="s">
        <v>22</v>
      </c>
      <c r="E6520" s="3">
        <f>HYPERLINK("https://sao.dolgi.msk.ru/account/1404124143/", 1404124143)</f>
        <v>1404124143</v>
      </c>
      <c r="F6520">
        <v>-10180.06</v>
      </c>
    </row>
    <row r="6521" spans="1:6" x14ac:dyDescent="0.25">
      <c r="A6521" t="s">
        <v>676</v>
      </c>
      <c r="B6521" t="s">
        <v>23</v>
      </c>
      <c r="C6521" s="5" t="str">
        <f t="shared" ref="C6521:C6522" si="267">" кв. "&amp;B6521</f>
        <v xml:space="preserve"> кв. 19</v>
      </c>
      <c r="D6521" s="5" t="str">
        <f>CONCATENATE(A6521,C6521)</f>
        <v>Ленинградское шоссе, дом 102 кв. 19</v>
      </c>
      <c r="E6521" s="3">
        <f>HYPERLINK("https://sao.dolgi.msk.ru/account/1404124012/", 1404124012)</f>
        <v>1404124012</v>
      </c>
      <c r="F6521">
        <v>164827.17000000001</v>
      </c>
    </row>
    <row r="6522" spans="1:6" x14ac:dyDescent="0.25">
      <c r="A6522" t="s">
        <v>676</v>
      </c>
      <c r="B6522" t="s">
        <v>24</v>
      </c>
      <c r="C6522" s="5" t="str">
        <f t="shared" si="267"/>
        <v xml:space="preserve"> кв. 20</v>
      </c>
      <c r="D6522" s="5" t="str">
        <f>CONCATENATE(A6522,C6522)</f>
        <v>Ленинградское шоссе, дом 102 кв. 20</v>
      </c>
      <c r="E6522" s="3">
        <f>HYPERLINK("https://sao.dolgi.msk.ru/account/1404124151/", 1404124151)</f>
        <v>1404124151</v>
      </c>
      <c r="F6522">
        <v>9229.94</v>
      </c>
    </row>
    <row r="6523" spans="1:6" hidden="1" x14ac:dyDescent="0.25">
      <c r="A6523" t="s">
        <v>676</v>
      </c>
      <c r="B6523" t="s">
        <v>25</v>
      </c>
      <c r="E6523" s="3">
        <f>HYPERLINK("https://sao.dolgi.msk.ru/account/1404124661/", 1404124661)</f>
        <v>1404124661</v>
      </c>
      <c r="F6523">
        <v>-2614.9699999999998</v>
      </c>
    </row>
    <row r="6524" spans="1:6" hidden="1" x14ac:dyDescent="0.25">
      <c r="A6524" t="s">
        <v>676</v>
      </c>
      <c r="B6524" t="s">
        <v>26</v>
      </c>
      <c r="E6524" s="3">
        <f>HYPERLINK("https://sao.dolgi.msk.ru/account/1404124178/", 1404124178)</f>
        <v>1404124178</v>
      </c>
      <c r="F6524">
        <v>-25.98</v>
      </c>
    </row>
    <row r="6525" spans="1:6" hidden="1" x14ac:dyDescent="0.25">
      <c r="A6525" t="s">
        <v>676</v>
      </c>
      <c r="B6525" t="s">
        <v>27</v>
      </c>
      <c r="E6525" s="3">
        <f>HYPERLINK("https://sao.dolgi.msk.ru/account/1404124688/", 1404124688)</f>
        <v>1404124688</v>
      </c>
      <c r="F6525">
        <v>-5585.08</v>
      </c>
    </row>
    <row r="6526" spans="1:6" x14ac:dyDescent="0.25">
      <c r="A6526" t="s">
        <v>676</v>
      </c>
      <c r="B6526" t="s">
        <v>28</v>
      </c>
      <c r="C6526" s="5" t="str">
        <f>" кв. "&amp;B6526</f>
        <v xml:space="preserve"> кв. 24</v>
      </c>
      <c r="D6526" s="5" t="str">
        <f>CONCATENATE(A6526,C6526)</f>
        <v>Ленинградское шоссе, дом 102 кв. 24</v>
      </c>
      <c r="E6526" s="3">
        <f>HYPERLINK("https://sao.dolgi.msk.ru/account/1404124864/", 1404124864)</f>
        <v>1404124864</v>
      </c>
      <c r="F6526">
        <v>2216.5</v>
      </c>
    </row>
    <row r="6527" spans="1:6" hidden="1" x14ac:dyDescent="0.25">
      <c r="A6527" t="s">
        <v>676</v>
      </c>
      <c r="B6527" t="s">
        <v>29</v>
      </c>
      <c r="E6527" s="3">
        <f>HYPERLINK("https://sao.dolgi.msk.ru/account/1404124186/", 1404124186)</f>
        <v>1404124186</v>
      </c>
      <c r="F6527">
        <v>-7270.13</v>
      </c>
    </row>
    <row r="6528" spans="1:6" hidden="1" x14ac:dyDescent="0.25">
      <c r="A6528" t="s">
        <v>676</v>
      </c>
      <c r="B6528" t="s">
        <v>30</v>
      </c>
      <c r="E6528" s="3">
        <f>HYPERLINK("https://sao.dolgi.msk.ru/account/1404125058/", 1404125058)</f>
        <v>1404125058</v>
      </c>
      <c r="F6528">
        <v>-3946.65</v>
      </c>
    </row>
    <row r="6529" spans="1:6" hidden="1" x14ac:dyDescent="0.25">
      <c r="A6529" t="s">
        <v>676</v>
      </c>
      <c r="B6529" t="s">
        <v>31</v>
      </c>
      <c r="E6529" s="3">
        <f>HYPERLINK("https://sao.dolgi.msk.ru/account/1404124872/", 1404124872)</f>
        <v>1404124872</v>
      </c>
      <c r="F6529">
        <v>-181.91</v>
      </c>
    </row>
    <row r="6530" spans="1:6" hidden="1" x14ac:dyDescent="0.25">
      <c r="A6530" t="s">
        <v>676</v>
      </c>
      <c r="B6530" t="s">
        <v>32</v>
      </c>
      <c r="E6530" s="3">
        <f>HYPERLINK("https://sao.dolgi.msk.ru/account/1404124194/", 1404124194)</f>
        <v>1404124194</v>
      </c>
      <c r="F6530">
        <v>-1587.19</v>
      </c>
    </row>
    <row r="6531" spans="1:6" hidden="1" x14ac:dyDescent="0.25">
      <c r="A6531" t="s">
        <v>676</v>
      </c>
      <c r="B6531" t="s">
        <v>33</v>
      </c>
      <c r="E6531" s="3">
        <f>HYPERLINK("https://sao.dolgi.msk.ru/account/1404124899/", 1404124899)</f>
        <v>1404124899</v>
      </c>
      <c r="F6531">
        <v>-5215.16</v>
      </c>
    </row>
    <row r="6532" spans="1:6" hidden="1" x14ac:dyDescent="0.25">
      <c r="A6532" t="s">
        <v>676</v>
      </c>
      <c r="B6532" t="s">
        <v>34</v>
      </c>
      <c r="E6532" s="3">
        <f>HYPERLINK("https://sao.dolgi.msk.ru/account/1404124311/", 1404124311)</f>
        <v>1404124311</v>
      </c>
      <c r="F6532">
        <v>-2108.4899999999998</v>
      </c>
    </row>
    <row r="6533" spans="1:6" hidden="1" x14ac:dyDescent="0.25">
      <c r="A6533" t="s">
        <v>676</v>
      </c>
      <c r="B6533" t="s">
        <v>35</v>
      </c>
      <c r="E6533" s="3">
        <f>HYPERLINK("https://sao.dolgi.msk.ru/account/1404124338/", 1404124338)</f>
        <v>1404124338</v>
      </c>
      <c r="F6533">
        <v>-3079.18</v>
      </c>
    </row>
    <row r="6534" spans="1:6" hidden="1" x14ac:dyDescent="0.25">
      <c r="A6534" t="s">
        <v>676</v>
      </c>
      <c r="B6534" t="s">
        <v>36</v>
      </c>
      <c r="E6534" s="3">
        <f>HYPERLINK("https://sao.dolgi.msk.ru/account/1404124901/", 1404124901)</f>
        <v>1404124901</v>
      </c>
      <c r="F6534">
        <v>-2883.55</v>
      </c>
    </row>
    <row r="6535" spans="1:6" hidden="1" x14ac:dyDescent="0.25">
      <c r="A6535" t="s">
        <v>676</v>
      </c>
      <c r="B6535" t="s">
        <v>37</v>
      </c>
      <c r="E6535" s="3">
        <f>HYPERLINK("https://sao.dolgi.msk.ru/account/1404124928/", 1404124928)</f>
        <v>1404124928</v>
      </c>
      <c r="F6535">
        <v>-2514.67</v>
      </c>
    </row>
    <row r="6536" spans="1:6" hidden="1" x14ac:dyDescent="0.25">
      <c r="A6536" t="s">
        <v>676</v>
      </c>
      <c r="B6536" t="s">
        <v>38</v>
      </c>
      <c r="E6536" s="3">
        <f>HYPERLINK("https://sao.dolgi.msk.ru/account/1404124493/", 1404124493)</f>
        <v>1404124493</v>
      </c>
      <c r="F6536">
        <v>-8067.88</v>
      </c>
    </row>
    <row r="6537" spans="1:6" hidden="1" x14ac:dyDescent="0.25">
      <c r="A6537" t="s">
        <v>676</v>
      </c>
      <c r="B6537" t="s">
        <v>39</v>
      </c>
      <c r="E6537" s="3">
        <f>HYPERLINK("https://sao.dolgi.msk.ru/account/1404124506/", 1404124506)</f>
        <v>1404124506</v>
      </c>
      <c r="F6537">
        <v>-7360.75</v>
      </c>
    </row>
    <row r="6538" spans="1:6" hidden="1" x14ac:dyDescent="0.25">
      <c r="A6538" t="s">
        <v>676</v>
      </c>
      <c r="B6538" t="s">
        <v>40</v>
      </c>
      <c r="E6538" s="3">
        <f>HYPERLINK("https://sao.dolgi.msk.ru/account/1404124514/", 1404124514)</f>
        <v>1404124514</v>
      </c>
      <c r="F6538">
        <v>-3193.6</v>
      </c>
    </row>
    <row r="6539" spans="1:6" hidden="1" x14ac:dyDescent="0.25">
      <c r="A6539" t="s">
        <v>676</v>
      </c>
      <c r="B6539" t="s">
        <v>41</v>
      </c>
      <c r="E6539" s="3">
        <f>HYPERLINK("https://sao.dolgi.msk.ru/account/1404125066/", 1404125066)</f>
        <v>1404125066</v>
      </c>
      <c r="F6539">
        <v>-4244.51</v>
      </c>
    </row>
    <row r="6540" spans="1:6" hidden="1" x14ac:dyDescent="0.25">
      <c r="A6540" t="s">
        <v>676</v>
      </c>
      <c r="B6540" t="s">
        <v>42</v>
      </c>
      <c r="E6540" s="3">
        <f>HYPERLINK("https://sao.dolgi.msk.ru/account/1404124039/", 1404124039)</f>
        <v>1404124039</v>
      </c>
      <c r="F6540">
        <v>-3384.22</v>
      </c>
    </row>
    <row r="6541" spans="1:6" hidden="1" x14ac:dyDescent="0.25">
      <c r="A6541" t="s">
        <v>676</v>
      </c>
      <c r="B6541" t="s">
        <v>43</v>
      </c>
      <c r="E6541" s="3">
        <f>HYPERLINK("https://sao.dolgi.msk.ru/account/1404124346/", 1404124346)</f>
        <v>1404124346</v>
      </c>
      <c r="F6541">
        <v>-6475.63</v>
      </c>
    </row>
    <row r="6542" spans="1:6" hidden="1" x14ac:dyDescent="0.25">
      <c r="A6542" t="s">
        <v>676</v>
      </c>
      <c r="B6542" t="s">
        <v>44</v>
      </c>
      <c r="E6542" s="3">
        <f>HYPERLINK("https://sao.dolgi.msk.ru/account/1404124047/", 1404124047)</f>
        <v>1404124047</v>
      </c>
      <c r="F6542">
        <v>-2962.52</v>
      </c>
    </row>
    <row r="6543" spans="1:6" hidden="1" x14ac:dyDescent="0.25">
      <c r="A6543" t="s">
        <v>676</v>
      </c>
      <c r="B6543" t="s">
        <v>45</v>
      </c>
      <c r="E6543" s="3">
        <f>HYPERLINK("https://sao.dolgi.msk.ru/account/1404124522/", 1404124522)</f>
        <v>1404124522</v>
      </c>
      <c r="F6543">
        <v>-3679.25</v>
      </c>
    </row>
    <row r="6544" spans="1:6" hidden="1" x14ac:dyDescent="0.25">
      <c r="A6544" t="s">
        <v>676</v>
      </c>
      <c r="B6544" t="s">
        <v>46</v>
      </c>
      <c r="E6544" s="3">
        <f>HYPERLINK("https://sao.dolgi.msk.ru/account/1404124207/", 1404124207)</f>
        <v>1404124207</v>
      </c>
      <c r="F6544">
        <v>-5937.81</v>
      </c>
    </row>
    <row r="6545" spans="1:6" hidden="1" x14ac:dyDescent="0.25">
      <c r="A6545" t="s">
        <v>676</v>
      </c>
      <c r="B6545" t="s">
        <v>47</v>
      </c>
      <c r="E6545" s="3">
        <f>HYPERLINK("https://sao.dolgi.msk.ru/account/1404124709/", 1404124709)</f>
        <v>1404124709</v>
      </c>
      <c r="F6545">
        <v>-5287.84</v>
      </c>
    </row>
    <row r="6546" spans="1:6" hidden="1" x14ac:dyDescent="0.25">
      <c r="A6546" t="s">
        <v>676</v>
      </c>
      <c r="B6546" t="s">
        <v>48</v>
      </c>
      <c r="E6546" s="3">
        <f>HYPERLINK("https://sao.dolgi.msk.ru/account/1404125074/", 1404125074)</f>
        <v>1404125074</v>
      </c>
      <c r="F6546">
        <v>-103.73</v>
      </c>
    </row>
    <row r="6547" spans="1:6" hidden="1" x14ac:dyDescent="0.25">
      <c r="A6547" t="s">
        <v>676</v>
      </c>
      <c r="B6547" t="s">
        <v>49</v>
      </c>
      <c r="E6547" s="3">
        <f>HYPERLINK("https://sao.dolgi.msk.ru/account/1404124055/", 1404124055)</f>
        <v>1404124055</v>
      </c>
      <c r="F6547">
        <v>-1798.4</v>
      </c>
    </row>
    <row r="6548" spans="1:6" hidden="1" x14ac:dyDescent="0.25">
      <c r="A6548" t="s">
        <v>676</v>
      </c>
      <c r="B6548" t="s">
        <v>50</v>
      </c>
      <c r="E6548" s="3">
        <f>HYPERLINK("https://sao.dolgi.msk.ru/account/1404124717/", 1404124717)</f>
        <v>1404124717</v>
      </c>
      <c r="F6548">
        <v>0</v>
      </c>
    </row>
    <row r="6549" spans="1:6" hidden="1" x14ac:dyDescent="0.25">
      <c r="A6549" t="s">
        <v>676</v>
      </c>
      <c r="B6549" t="s">
        <v>51</v>
      </c>
      <c r="E6549" s="3">
        <f>HYPERLINK("https://sao.dolgi.msk.ru/account/1404124936/", 1404124936)</f>
        <v>1404124936</v>
      </c>
      <c r="F6549">
        <v>-5211.5200000000004</v>
      </c>
    </row>
    <row r="6550" spans="1:6" hidden="1" x14ac:dyDescent="0.25">
      <c r="A6550" t="s">
        <v>676</v>
      </c>
      <c r="B6550" t="s">
        <v>52</v>
      </c>
      <c r="E6550" s="3">
        <f>HYPERLINK("https://sao.dolgi.msk.ru/account/1404123925/", 1404123925)</f>
        <v>1404123925</v>
      </c>
      <c r="F6550">
        <v>-2800.17</v>
      </c>
    </row>
    <row r="6551" spans="1:6" x14ac:dyDescent="0.25">
      <c r="A6551" t="s">
        <v>676</v>
      </c>
      <c r="B6551" t="s">
        <v>53</v>
      </c>
      <c r="C6551" s="5" t="str">
        <f>" кв. "&amp;B6551</f>
        <v xml:space="preserve"> кв. 49</v>
      </c>
      <c r="D6551" s="5" t="str">
        <f>CONCATENATE(A6551,C6551)</f>
        <v>Ленинградское шоссе, дом 102 кв. 49</v>
      </c>
      <c r="E6551" s="3">
        <f>HYPERLINK("https://sao.dolgi.msk.ru/account/1404124725/", 1404124725)</f>
        <v>1404124725</v>
      </c>
      <c r="F6551">
        <v>7146.1</v>
      </c>
    </row>
    <row r="6552" spans="1:6" hidden="1" x14ac:dyDescent="0.25">
      <c r="A6552" t="s">
        <v>676</v>
      </c>
      <c r="B6552" t="s">
        <v>54</v>
      </c>
      <c r="E6552" s="3">
        <f>HYPERLINK("https://sao.dolgi.msk.ru/account/1404124354/", 1404124354)</f>
        <v>1404124354</v>
      </c>
      <c r="F6552">
        <v>-5149.0600000000004</v>
      </c>
    </row>
    <row r="6553" spans="1:6" hidden="1" x14ac:dyDescent="0.25">
      <c r="A6553" t="s">
        <v>676</v>
      </c>
      <c r="B6553" t="s">
        <v>55</v>
      </c>
      <c r="E6553" s="3">
        <f>HYPERLINK("https://sao.dolgi.msk.ru/account/1404123933/", 1404123933)</f>
        <v>1404123933</v>
      </c>
      <c r="F6553">
        <v>-5126.09</v>
      </c>
    </row>
    <row r="6554" spans="1:6" hidden="1" x14ac:dyDescent="0.25">
      <c r="A6554" t="s">
        <v>676</v>
      </c>
      <c r="B6554" t="s">
        <v>56</v>
      </c>
      <c r="E6554" s="3">
        <f>HYPERLINK("https://sao.dolgi.msk.ru/account/1404125082/", 1404125082)</f>
        <v>1404125082</v>
      </c>
      <c r="F6554">
        <v>-4639.01</v>
      </c>
    </row>
    <row r="6555" spans="1:6" hidden="1" x14ac:dyDescent="0.25">
      <c r="A6555" t="s">
        <v>676</v>
      </c>
      <c r="B6555" t="s">
        <v>57</v>
      </c>
      <c r="E6555" s="3">
        <f>HYPERLINK("https://sao.dolgi.msk.ru/account/1404123941/", 1404123941)</f>
        <v>1404123941</v>
      </c>
      <c r="F6555">
        <v>-3402.84</v>
      </c>
    </row>
    <row r="6556" spans="1:6" hidden="1" x14ac:dyDescent="0.25">
      <c r="A6556" t="s">
        <v>676</v>
      </c>
      <c r="B6556" t="s">
        <v>58</v>
      </c>
      <c r="E6556" s="3">
        <f>HYPERLINK("https://sao.dolgi.msk.ru/account/1404124549/", 1404124549)</f>
        <v>1404124549</v>
      </c>
      <c r="F6556">
        <v>0</v>
      </c>
    </row>
    <row r="6557" spans="1:6" hidden="1" x14ac:dyDescent="0.25">
      <c r="A6557" t="s">
        <v>676</v>
      </c>
      <c r="B6557" t="s">
        <v>59</v>
      </c>
      <c r="E6557" s="3">
        <f>HYPERLINK("https://sao.dolgi.msk.ru/account/1404125103/", 1404125103)</f>
        <v>1404125103</v>
      </c>
      <c r="F6557">
        <v>-6267.47</v>
      </c>
    </row>
    <row r="6558" spans="1:6" hidden="1" x14ac:dyDescent="0.25">
      <c r="A6558" t="s">
        <v>676</v>
      </c>
      <c r="B6558" t="s">
        <v>60</v>
      </c>
      <c r="E6558" s="3">
        <f>HYPERLINK("https://sao.dolgi.msk.ru/account/1404124557/", 1404124557)</f>
        <v>1404124557</v>
      </c>
      <c r="F6558">
        <v>-3722.59</v>
      </c>
    </row>
    <row r="6559" spans="1:6" hidden="1" x14ac:dyDescent="0.25">
      <c r="A6559" t="s">
        <v>676</v>
      </c>
      <c r="B6559" t="s">
        <v>61</v>
      </c>
      <c r="E6559" s="3">
        <f>HYPERLINK("https://sao.dolgi.msk.ru/account/1404124215/", 1404124215)</f>
        <v>1404124215</v>
      </c>
      <c r="F6559">
        <v>-3222.29</v>
      </c>
    </row>
    <row r="6560" spans="1:6" hidden="1" x14ac:dyDescent="0.25">
      <c r="A6560" t="s">
        <v>676</v>
      </c>
      <c r="B6560" t="s">
        <v>62</v>
      </c>
      <c r="E6560" s="3">
        <f>HYPERLINK("https://sao.dolgi.msk.ru/account/1404123968/", 1404123968)</f>
        <v>1404123968</v>
      </c>
      <c r="F6560">
        <v>0</v>
      </c>
    </row>
    <row r="6561" spans="1:6" hidden="1" x14ac:dyDescent="0.25">
      <c r="A6561" t="s">
        <v>676</v>
      </c>
      <c r="B6561" t="s">
        <v>63</v>
      </c>
      <c r="E6561" s="3">
        <f>HYPERLINK("https://sao.dolgi.msk.ru/account/1404124741/", 1404124741)</f>
        <v>1404124741</v>
      </c>
      <c r="F6561">
        <v>-9740.4</v>
      </c>
    </row>
    <row r="6562" spans="1:6" hidden="1" x14ac:dyDescent="0.25">
      <c r="A6562" t="s">
        <v>676</v>
      </c>
      <c r="B6562" t="s">
        <v>64</v>
      </c>
      <c r="E6562" s="3">
        <f>HYPERLINK("https://sao.dolgi.msk.ru/account/1404124565/", 1404124565)</f>
        <v>1404124565</v>
      </c>
      <c r="F6562">
        <v>-3536.24</v>
      </c>
    </row>
    <row r="6563" spans="1:6" hidden="1" x14ac:dyDescent="0.25">
      <c r="A6563" t="s">
        <v>676</v>
      </c>
      <c r="B6563" t="s">
        <v>65</v>
      </c>
      <c r="E6563" s="3">
        <f>HYPERLINK("https://sao.dolgi.msk.ru/account/1404123976/", 1404123976)</f>
        <v>1404123976</v>
      </c>
      <c r="F6563">
        <v>-2381.59</v>
      </c>
    </row>
    <row r="6564" spans="1:6" hidden="1" x14ac:dyDescent="0.25">
      <c r="A6564" t="s">
        <v>676</v>
      </c>
      <c r="B6564" t="s">
        <v>66</v>
      </c>
      <c r="E6564" s="3">
        <f>HYPERLINK("https://sao.dolgi.msk.ru/account/1404124573/", 1404124573)</f>
        <v>1404124573</v>
      </c>
      <c r="F6564">
        <v>-3787.08</v>
      </c>
    </row>
    <row r="6565" spans="1:6" hidden="1" x14ac:dyDescent="0.25">
      <c r="A6565" t="s">
        <v>676</v>
      </c>
      <c r="B6565" t="s">
        <v>67</v>
      </c>
      <c r="E6565" s="3">
        <f>HYPERLINK("https://sao.dolgi.msk.ru/account/1404123984/", 1404123984)</f>
        <v>1404123984</v>
      </c>
      <c r="F6565">
        <v>-7973.1</v>
      </c>
    </row>
    <row r="6566" spans="1:6" hidden="1" x14ac:dyDescent="0.25">
      <c r="A6566" t="s">
        <v>676</v>
      </c>
      <c r="B6566" t="s">
        <v>68</v>
      </c>
      <c r="E6566" s="3">
        <f>HYPERLINK("https://sao.dolgi.msk.ru/account/1404124944/", 1404124944)</f>
        <v>1404124944</v>
      </c>
      <c r="F6566">
        <v>0</v>
      </c>
    </row>
    <row r="6567" spans="1:6" hidden="1" x14ac:dyDescent="0.25">
      <c r="A6567" t="s">
        <v>676</v>
      </c>
      <c r="B6567" t="s">
        <v>69</v>
      </c>
      <c r="E6567" s="3">
        <f>HYPERLINK("https://sao.dolgi.msk.ru/account/1404124362/", 1404124362)</f>
        <v>1404124362</v>
      </c>
      <c r="F6567">
        <v>-4097.5200000000004</v>
      </c>
    </row>
    <row r="6568" spans="1:6" hidden="1" x14ac:dyDescent="0.25">
      <c r="A6568" t="s">
        <v>676</v>
      </c>
      <c r="B6568" t="s">
        <v>70</v>
      </c>
      <c r="E6568" s="3">
        <f>HYPERLINK("https://sao.dolgi.msk.ru/account/1404124063/", 1404124063)</f>
        <v>1404124063</v>
      </c>
      <c r="F6568">
        <v>-6446.82</v>
      </c>
    </row>
    <row r="6569" spans="1:6" hidden="1" x14ac:dyDescent="0.25">
      <c r="A6569" t="s">
        <v>676</v>
      </c>
      <c r="B6569" t="s">
        <v>71</v>
      </c>
      <c r="E6569" s="3">
        <f>HYPERLINK("https://sao.dolgi.msk.ru/account/1404125111/", 1404125111)</f>
        <v>1404125111</v>
      </c>
      <c r="F6569">
        <v>-1978.77</v>
      </c>
    </row>
    <row r="6570" spans="1:6" hidden="1" x14ac:dyDescent="0.25">
      <c r="A6570" t="s">
        <v>676</v>
      </c>
      <c r="B6570" t="s">
        <v>72</v>
      </c>
      <c r="E6570" s="3">
        <f>HYPERLINK("https://sao.dolgi.msk.ru/account/1404124071/", 1404124071)</f>
        <v>1404124071</v>
      </c>
      <c r="F6570">
        <v>-996.32</v>
      </c>
    </row>
    <row r="6571" spans="1:6" hidden="1" x14ac:dyDescent="0.25">
      <c r="A6571" t="s">
        <v>676</v>
      </c>
      <c r="B6571" t="s">
        <v>72</v>
      </c>
      <c r="E6571" s="3">
        <f>HYPERLINK("https://sao.dolgi.msk.ru/account/1404125189/", 1404125189)</f>
        <v>1404125189</v>
      </c>
      <c r="F6571">
        <v>-1153.7</v>
      </c>
    </row>
    <row r="6572" spans="1:6" hidden="1" x14ac:dyDescent="0.25">
      <c r="A6572" t="s">
        <v>676</v>
      </c>
      <c r="B6572" t="s">
        <v>73</v>
      </c>
      <c r="E6572" s="3">
        <f>HYPERLINK("https://sao.dolgi.msk.ru/account/1404123992/", 1404123992)</f>
        <v>1404123992</v>
      </c>
      <c r="F6572">
        <v>-1755.43</v>
      </c>
    </row>
    <row r="6573" spans="1:6" hidden="1" x14ac:dyDescent="0.25">
      <c r="A6573" t="s">
        <v>676</v>
      </c>
      <c r="B6573" t="s">
        <v>73</v>
      </c>
      <c r="E6573" s="3">
        <f>HYPERLINK("https://sao.dolgi.msk.ru/account/1404124856/", 1404124856)</f>
        <v>1404124856</v>
      </c>
      <c r="F6573">
        <v>-1458.88</v>
      </c>
    </row>
    <row r="6574" spans="1:6" x14ac:dyDescent="0.25">
      <c r="A6574" t="s">
        <v>676</v>
      </c>
      <c r="B6574" t="s">
        <v>74</v>
      </c>
      <c r="C6574" s="5" t="str">
        <f>" кв. "&amp;B6574</f>
        <v xml:space="preserve"> кв. 70</v>
      </c>
      <c r="D6574" s="5" t="str">
        <f>CONCATENATE(A6574,C6574)</f>
        <v>Ленинградское шоссе, дом 102 кв. 70</v>
      </c>
      <c r="E6574" s="3">
        <f>HYPERLINK("https://sao.dolgi.msk.ru/account/1404125138/", 1404125138)</f>
        <v>1404125138</v>
      </c>
      <c r="F6574">
        <v>36856.26</v>
      </c>
    </row>
    <row r="6575" spans="1:6" hidden="1" x14ac:dyDescent="0.25">
      <c r="A6575" t="s">
        <v>676</v>
      </c>
      <c r="B6575" t="s">
        <v>75</v>
      </c>
      <c r="E6575" s="3">
        <f>HYPERLINK("https://sao.dolgi.msk.ru/account/1404124952/", 1404124952)</f>
        <v>1404124952</v>
      </c>
      <c r="F6575">
        <v>0</v>
      </c>
    </row>
    <row r="6576" spans="1:6" hidden="1" x14ac:dyDescent="0.25">
      <c r="A6576" t="s">
        <v>676</v>
      </c>
      <c r="B6576" t="s">
        <v>76</v>
      </c>
      <c r="E6576" s="3">
        <f>HYPERLINK("https://sao.dolgi.msk.ru/account/1404124979/", 1404124979)</f>
        <v>1404124979</v>
      </c>
      <c r="F6576">
        <v>-4140.97</v>
      </c>
    </row>
    <row r="6577" spans="1:6" x14ac:dyDescent="0.25">
      <c r="A6577" t="s">
        <v>676</v>
      </c>
      <c r="B6577" t="s">
        <v>77</v>
      </c>
      <c r="C6577" s="5" t="str">
        <f t="shared" ref="C6577:C6578" si="268">" кв. "&amp;B6577</f>
        <v xml:space="preserve"> кв. 73</v>
      </c>
      <c r="D6577" s="5" t="str">
        <f>CONCATENATE(A6577,C6577)</f>
        <v>Ленинградское шоссе, дом 102 кв. 73</v>
      </c>
      <c r="E6577" s="3">
        <f>HYPERLINK("https://sao.dolgi.msk.ru/account/1404124581/", 1404124581)</f>
        <v>1404124581</v>
      </c>
      <c r="F6577">
        <v>10749.35</v>
      </c>
    </row>
    <row r="6578" spans="1:6" x14ac:dyDescent="0.25">
      <c r="A6578" t="s">
        <v>676</v>
      </c>
      <c r="B6578" t="s">
        <v>78</v>
      </c>
      <c r="C6578" s="5" t="str">
        <f t="shared" si="268"/>
        <v xml:space="preserve"> кв. 74</v>
      </c>
      <c r="D6578" s="5" t="str">
        <f>CONCATENATE(A6578,C6578)</f>
        <v>Ленинградское шоссе, дом 102 кв. 74</v>
      </c>
      <c r="E6578" s="3">
        <f>HYPERLINK("https://sao.dolgi.msk.ru/account/1404125146/", 1404125146)</f>
        <v>1404125146</v>
      </c>
      <c r="F6578">
        <v>98445.33</v>
      </c>
    </row>
    <row r="6579" spans="1:6" hidden="1" x14ac:dyDescent="0.25">
      <c r="A6579" t="s">
        <v>676</v>
      </c>
      <c r="B6579" t="s">
        <v>79</v>
      </c>
      <c r="E6579" s="3">
        <f>HYPERLINK("https://sao.dolgi.msk.ru/account/1404124231/", 1404124231)</f>
        <v>1404124231</v>
      </c>
      <c r="F6579">
        <v>-3367.86</v>
      </c>
    </row>
    <row r="6580" spans="1:6" hidden="1" x14ac:dyDescent="0.25">
      <c r="A6580" t="s">
        <v>676</v>
      </c>
      <c r="B6580" t="s">
        <v>80</v>
      </c>
      <c r="E6580" s="3">
        <f>HYPERLINK("https://sao.dolgi.msk.ru/account/1404124776/", 1404124776)</f>
        <v>1404124776</v>
      </c>
      <c r="F6580">
        <v>-3377.01</v>
      </c>
    </row>
    <row r="6581" spans="1:6" hidden="1" x14ac:dyDescent="0.25">
      <c r="A6581" t="s">
        <v>676</v>
      </c>
      <c r="B6581" t="s">
        <v>81</v>
      </c>
      <c r="E6581" s="3">
        <f>HYPERLINK("https://sao.dolgi.msk.ru/account/1404124987/", 1404124987)</f>
        <v>1404124987</v>
      </c>
      <c r="F6581">
        <v>-3580.4</v>
      </c>
    </row>
    <row r="6582" spans="1:6" hidden="1" x14ac:dyDescent="0.25">
      <c r="A6582" t="s">
        <v>676</v>
      </c>
      <c r="B6582" t="s">
        <v>82</v>
      </c>
      <c r="E6582" s="3">
        <f>HYPERLINK("https://sao.dolgi.msk.ru/account/1404124995/", 1404124995)</f>
        <v>1404124995</v>
      </c>
      <c r="F6582">
        <v>-7345.51</v>
      </c>
    </row>
    <row r="6583" spans="1:6" hidden="1" x14ac:dyDescent="0.25">
      <c r="A6583" t="s">
        <v>676</v>
      </c>
      <c r="B6583" t="s">
        <v>83</v>
      </c>
      <c r="E6583" s="3">
        <f>HYPERLINK("https://sao.dolgi.msk.ru/account/1404125154/", 1404125154)</f>
        <v>1404125154</v>
      </c>
      <c r="F6583">
        <v>-2696.08</v>
      </c>
    </row>
    <row r="6584" spans="1:6" hidden="1" x14ac:dyDescent="0.25">
      <c r="A6584" t="s">
        <v>676</v>
      </c>
      <c r="B6584" t="s">
        <v>84</v>
      </c>
      <c r="E6584" s="3">
        <f>HYPERLINK("https://sao.dolgi.msk.ru/account/1404124098/", 1404124098)</f>
        <v>1404124098</v>
      </c>
      <c r="F6584">
        <v>-5404.17</v>
      </c>
    </row>
    <row r="6585" spans="1:6" hidden="1" x14ac:dyDescent="0.25">
      <c r="A6585" t="s">
        <v>676</v>
      </c>
      <c r="B6585" t="s">
        <v>85</v>
      </c>
      <c r="E6585" s="3">
        <f>HYPERLINK("https://sao.dolgi.msk.ru/account/1404124784/", 1404124784)</f>
        <v>1404124784</v>
      </c>
      <c r="F6585">
        <v>-4211.21</v>
      </c>
    </row>
    <row r="6586" spans="1:6" hidden="1" x14ac:dyDescent="0.25">
      <c r="A6586" t="s">
        <v>676</v>
      </c>
      <c r="B6586" t="s">
        <v>86</v>
      </c>
      <c r="E6586" s="3">
        <f>HYPERLINK("https://sao.dolgi.msk.ru/account/1404124792/", 1404124792)</f>
        <v>1404124792</v>
      </c>
      <c r="F6586">
        <v>0</v>
      </c>
    </row>
    <row r="6587" spans="1:6" x14ac:dyDescent="0.25">
      <c r="A6587" t="s">
        <v>676</v>
      </c>
      <c r="B6587" t="s">
        <v>87</v>
      </c>
      <c r="C6587" s="5" t="str">
        <f t="shared" ref="C6587:C6588" si="269">" кв. "&amp;B6587</f>
        <v xml:space="preserve"> кв. 83</v>
      </c>
      <c r="D6587" s="5" t="str">
        <f>CONCATENATE(A6587,C6587)</f>
        <v>Ленинградское шоссе, дом 102 кв. 83</v>
      </c>
      <c r="E6587" s="3">
        <f>HYPERLINK("https://sao.dolgi.msk.ru/account/1404125007/", 1404125007)</f>
        <v>1404125007</v>
      </c>
      <c r="F6587">
        <v>22374.62</v>
      </c>
    </row>
    <row r="6588" spans="1:6" x14ac:dyDescent="0.25">
      <c r="A6588" t="s">
        <v>676</v>
      </c>
      <c r="B6588" t="s">
        <v>88</v>
      </c>
      <c r="C6588" s="5" t="str">
        <f t="shared" si="269"/>
        <v xml:space="preserve"> кв. 84</v>
      </c>
      <c r="D6588" s="5" t="str">
        <f>CONCATENATE(A6588,C6588)</f>
        <v>Ленинградское шоссе, дом 102 кв. 84</v>
      </c>
      <c r="E6588" s="3">
        <f>HYPERLINK("https://sao.dolgi.msk.ru/account/1404125015/", 1404125015)</f>
        <v>1404125015</v>
      </c>
      <c r="F6588">
        <v>142212.97</v>
      </c>
    </row>
    <row r="6589" spans="1:6" hidden="1" x14ac:dyDescent="0.25">
      <c r="A6589" t="s">
        <v>676</v>
      </c>
      <c r="B6589" t="s">
        <v>89</v>
      </c>
      <c r="E6589" s="3">
        <f>HYPERLINK("https://sao.dolgi.msk.ru/account/1404124389/", 1404124389)</f>
        <v>1404124389</v>
      </c>
      <c r="F6589">
        <v>0</v>
      </c>
    </row>
    <row r="6590" spans="1:6" hidden="1" x14ac:dyDescent="0.25">
      <c r="A6590" t="s">
        <v>676</v>
      </c>
      <c r="B6590" t="s">
        <v>90</v>
      </c>
      <c r="E6590" s="3">
        <f>HYPERLINK("https://sao.dolgi.msk.ru/account/1404124602/", 1404124602)</f>
        <v>1404124602</v>
      </c>
      <c r="F6590">
        <v>-4538.45</v>
      </c>
    </row>
    <row r="6591" spans="1:6" hidden="1" x14ac:dyDescent="0.25">
      <c r="A6591" t="s">
        <v>676</v>
      </c>
      <c r="B6591" t="s">
        <v>91</v>
      </c>
      <c r="E6591" s="3">
        <f>HYPERLINK("https://sao.dolgi.msk.ru/account/1404124397/", 1404124397)</f>
        <v>1404124397</v>
      </c>
      <c r="F6591">
        <v>-3282.24</v>
      </c>
    </row>
    <row r="6592" spans="1:6" hidden="1" x14ac:dyDescent="0.25">
      <c r="A6592" t="s">
        <v>676</v>
      </c>
      <c r="B6592" t="s">
        <v>92</v>
      </c>
      <c r="E6592" s="3">
        <f>HYPERLINK("https://sao.dolgi.msk.ru/account/1404124418/", 1404124418)</f>
        <v>1404124418</v>
      </c>
      <c r="F6592">
        <v>-2784.73</v>
      </c>
    </row>
    <row r="6593" spans="1:6" hidden="1" x14ac:dyDescent="0.25">
      <c r="A6593" t="s">
        <v>676</v>
      </c>
      <c r="B6593" t="s">
        <v>93</v>
      </c>
      <c r="E6593" s="3">
        <f>HYPERLINK("https://sao.dolgi.msk.ru/account/1404124805/", 1404124805)</f>
        <v>1404124805</v>
      </c>
      <c r="F6593">
        <v>-2446.65</v>
      </c>
    </row>
    <row r="6594" spans="1:6" hidden="1" x14ac:dyDescent="0.25">
      <c r="A6594" t="s">
        <v>676</v>
      </c>
      <c r="B6594" t="s">
        <v>94</v>
      </c>
      <c r="E6594" s="3">
        <f>HYPERLINK("https://sao.dolgi.msk.ru/account/1404125023/", 1404125023)</f>
        <v>1404125023</v>
      </c>
      <c r="F6594">
        <v>-4132.92</v>
      </c>
    </row>
    <row r="6595" spans="1:6" hidden="1" x14ac:dyDescent="0.25">
      <c r="A6595" t="s">
        <v>676</v>
      </c>
      <c r="B6595" t="s">
        <v>95</v>
      </c>
      <c r="E6595" s="3">
        <f>HYPERLINK("https://sao.dolgi.msk.ru/account/1404124119/", 1404124119)</f>
        <v>1404124119</v>
      </c>
      <c r="F6595">
        <v>-1570.21</v>
      </c>
    </row>
    <row r="6596" spans="1:6" x14ac:dyDescent="0.25">
      <c r="A6596" t="s">
        <v>676</v>
      </c>
      <c r="B6596" t="s">
        <v>96</v>
      </c>
      <c r="C6596" s="5" t="str">
        <f>" кв. "&amp;B6596</f>
        <v xml:space="preserve"> кв. 92</v>
      </c>
      <c r="D6596" s="5" t="str">
        <f>CONCATENATE(A6596,C6596)</f>
        <v>Ленинградское шоссе, дом 102 кв. 92</v>
      </c>
      <c r="E6596" s="3">
        <f>HYPERLINK("https://sao.dolgi.msk.ru/account/1404124004/", 1404124004)</f>
        <v>1404124004</v>
      </c>
      <c r="F6596">
        <v>73867.899999999994</v>
      </c>
    </row>
    <row r="6597" spans="1:6" hidden="1" x14ac:dyDescent="0.25">
      <c r="A6597" t="s">
        <v>676</v>
      </c>
      <c r="B6597" t="s">
        <v>97</v>
      </c>
      <c r="E6597" s="3">
        <f>HYPERLINK("https://sao.dolgi.msk.ru/account/1404124629/", 1404124629)</f>
        <v>1404124629</v>
      </c>
      <c r="F6597">
        <v>0</v>
      </c>
    </row>
    <row r="6598" spans="1:6" hidden="1" x14ac:dyDescent="0.25">
      <c r="A6598" t="s">
        <v>676</v>
      </c>
      <c r="B6598" t="s">
        <v>98</v>
      </c>
      <c r="E6598" s="3">
        <f>HYPERLINK("https://sao.dolgi.msk.ru/account/1404124821/", 1404124821)</f>
        <v>1404124821</v>
      </c>
      <c r="F6598">
        <v>-7154.4</v>
      </c>
    </row>
    <row r="6599" spans="1:6" hidden="1" x14ac:dyDescent="0.25">
      <c r="A6599" t="s">
        <v>676</v>
      </c>
      <c r="B6599" t="s">
        <v>99</v>
      </c>
      <c r="E6599" s="3">
        <f>HYPERLINK("https://sao.dolgi.msk.ru/account/1404124848/", 1404124848)</f>
        <v>1404124848</v>
      </c>
      <c r="F6599">
        <v>-3781.66</v>
      </c>
    </row>
    <row r="6600" spans="1:6" hidden="1" x14ac:dyDescent="0.25">
      <c r="A6600" t="s">
        <v>676</v>
      </c>
      <c r="B6600" t="s">
        <v>100</v>
      </c>
      <c r="E6600" s="3">
        <f>HYPERLINK("https://sao.dolgi.msk.ru/account/1404124426/", 1404124426)</f>
        <v>1404124426</v>
      </c>
      <c r="F6600">
        <v>-3018.88</v>
      </c>
    </row>
    <row r="6601" spans="1:6" hidden="1" x14ac:dyDescent="0.25">
      <c r="A6601" t="s">
        <v>676</v>
      </c>
      <c r="B6601" t="s">
        <v>101</v>
      </c>
      <c r="E6601" s="3">
        <f>HYPERLINK("https://sao.dolgi.msk.ru/account/1404124637/", 1404124637)</f>
        <v>1404124637</v>
      </c>
      <c r="F6601">
        <v>-3315.41</v>
      </c>
    </row>
    <row r="6602" spans="1:6" hidden="1" x14ac:dyDescent="0.25">
      <c r="A6602" t="s">
        <v>676</v>
      </c>
      <c r="B6602" t="s">
        <v>102</v>
      </c>
      <c r="E6602" s="3">
        <f>HYPERLINK("https://sao.dolgi.msk.ru/account/1404124258/", 1404124258)</f>
        <v>1404124258</v>
      </c>
      <c r="F6602">
        <v>-1196.9100000000001</v>
      </c>
    </row>
    <row r="6603" spans="1:6" hidden="1" x14ac:dyDescent="0.25">
      <c r="A6603" t="s">
        <v>676</v>
      </c>
      <c r="B6603" t="s">
        <v>103</v>
      </c>
      <c r="E6603" s="3">
        <f>HYPERLINK("https://sao.dolgi.msk.ru/account/1404124434/", 1404124434)</f>
        <v>1404124434</v>
      </c>
      <c r="F6603">
        <v>-2768.86</v>
      </c>
    </row>
    <row r="6604" spans="1:6" x14ac:dyDescent="0.25">
      <c r="A6604" t="s">
        <v>676</v>
      </c>
      <c r="B6604" t="s">
        <v>104</v>
      </c>
      <c r="C6604" s="5" t="str">
        <f>" кв. "&amp;B6604</f>
        <v xml:space="preserve"> кв. 100</v>
      </c>
      <c r="D6604" s="5" t="str">
        <f>CONCATENATE(A6604,C6604)</f>
        <v>Ленинградское шоссе, дом 102 кв. 100</v>
      </c>
      <c r="E6604" s="3">
        <f>HYPERLINK("https://sao.dolgi.msk.ru/account/1404124274/", 1404124274)</f>
        <v>1404124274</v>
      </c>
      <c r="F6604">
        <v>5981.13</v>
      </c>
    </row>
    <row r="6605" spans="1:6" hidden="1" x14ac:dyDescent="0.25">
      <c r="A6605" t="s">
        <v>676</v>
      </c>
      <c r="B6605" t="s">
        <v>105</v>
      </c>
      <c r="E6605" s="3">
        <f>HYPERLINK("https://sao.dolgi.msk.ru/account/1404124127/", 1404124127)</f>
        <v>1404124127</v>
      </c>
      <c r="F6605">
        <v>0</v>
      </c>
    </row>
    <row r="6606" spans="1:6" hidden="1" x14ac:dyDescent="0.25">
      <c r="A6606" t="s">
        <v>676</v>
      </c>
      <c r="B6606" t="s">
        <v>106</v>
      </c>
      <c r="E6606" s="3">
        <f>HYPERLINK("https://sao.dolgi.msk.ru/account/1404124469/", 1404124469)</f>
        <v>1404124469</v>
      </c>
      <c r="F6606">
        <v>-8086.52</v>
      </c>
    </row>
    <row r="6607" spans="1:6" hidden="1" x14ac:dyDescent="0.25">
      <c r="A6607" t="s">
        <v>677</v>
      </c>
      <c r="B6607" t="s">
        <v>5</v>
      </c>
      <c r="E6607" s="3">
        <f>HYPERLINK("https://sao.dolgi.msk.ru/account/1404099902/", 1404099902)</f>
        <v>1404099902</v>
      </c>
      <c r="F6607">
        <v>-6707.89</v>
      </c>
    </row>
    <row r="6608" spans="1:6" hidden="1" x14ac:dyDescent="0.25">
      <c r="A6608" t="s">
        <v>677</v>
      </c>
      <c r="B6608" t="s">
        <v>6</v>
      </c>
      <c r="E6608" s="3">
        <f>HYPERLINK("https://sao.dolgi.msk.ru/account/1404155425/", 1404155425)</f>
        <v>1404155425</v>
      </c>
      <c r="F6608">
        <v>-6630.75</v>
      </c>
    </row>
    <row r="6609" spans="1:6" hidden="1" x14ac:dyDescent="0.25">
      <c r="A6609" t="s">
        <v>677</v>
      </c>
      <c r="B6609" t="s">
        <v>7</v>
      </c>
      <c r="E6609" s="3">
        <f>HYPERLINK("https://sao.dolgi.msk.ru/account/1404083767/", 1404083767)</f>
        <v>1404083767</v>
      </c>
      <c r="F6609">
        <v>-938.96</v>
      </c>
    </row>
    <row r="6610" spans="1:6" hidden="1" x14ac:dyDescent="0.25">
      <c r="A6610" t="s">
        <v>677</v>
      </c>
      <c r="B6610" t="s">
        <v>8</v>
      </c>
      <c r="E6610" s="3">
        <f>HYPERLINK("https://sao.dolgi.msk.ru/account/1404099937/", 1404099937)</f>
        <v>1404099937</v>
      </c>
      <c r="F6610">
        <v>-6840.4</v>
      </c>
    </row>
    <row r="6611" spans="1:6" hidden="1" x14ac:dyDescent="0.25">
      <c r="A6611" t="s">
        <v>677</v>
      </c>
      <c r="B6611" t="s">
        <v>9</v>
      </c>
      <c r="E6611" s="3">
        <f>HYPERLINK("https://sao.dolgi.msk.ru/account/1404153964/", 1404153964)</f>
        <v>1404153964</v>
      </c>
      <c r="F6611">
        <v>0</v>
      </c>
    </row>
    <row r="6612" spans="1:6" hidden="1" x14ac:dyDescent="0.25">
      <c r="A6612" t="s">
        <v>677</v>
      </c>
      <c r="B6612" t="s">
        <v>10</v>
      </c>
      <c r="E6612" s="3">
        <f>HYPERLINK("https://sao.dolgi.msk.ru/account/1404099953/", 1404099953)</f>
        <v>1404099953</v>
      </c>
      <c r="F6612">
        <v>-6169.65</v>
      </c>
    </row>
    <row r="6613" spans="1:6" hidden="1" x14ac:dyDescent="0.25">
      <c r="A6613" t="s">
        <v>677</v>
      </c>
      <c r="B6613" t="s">
        <v>11</v>
      </c>
      <c r="E6613" s="3">
        <f>HYPERLINK("https://sao.dolgi.msk.ru/account/1404153884/", 1404153884)</f>
        <v>1404153884</v>
      </c>
      <c r="F6613">
        <v>0</v>
      </c>
    </row>
    <row r="6614" spans="1:6" hidden="1" x14ac:dyDescent="0.25">
      <c r="A6614" t="s">
        <v>677</v>
      </c>
      <c r="B6614" t="s">
        <v>12</v>
      </c>
      <c r="E6614" s="3">
        <f>HYPERLINK("https://sao.dolgi.msk.ru/account/1404087645/", 1404087645)</f>
        <v>1404087645</v>
      </c>
      <c r="F6614">
        <v>-3563.29</v>
      </c>
    </row>
    <row r="6615" spans="1:6" hidden="1" x14ac:dyDescent="0.25">
      <c r="A6615" t="s">
        <v>677</v>
      </c>
      <c r="B6615" t="s">
        <v>13</v>
      </c>
      <c r="E6615" s="3">
        <f>HYPERLINK("https://sao.dolgi.msk.ru/account/1404087207/", 1404087207)</f>
        <v>1404087207</v>
      </c>
      <c r="F6615">
        <v>-3231.33</v>
      </c>
    </row>
    <row r="6616" spans="1:6" hidden="1" x14ac:dyDescent="0.25">
      <c r="A6616" t="s">
        <v>677</v>
      </c>
      <c r="B6616" t="s">
        <v>14</v>
      </c>
      <c r="E6616" s="3">
        <f>HYPERLINK("https://sao.dolgi.msk.ru/account/1404092241/", 1404092241)</f>
        <v>1404092241</v>
      </c>
      <c r="F6616">
        <v>-17238.03</v>
      </c>
    </row>
    <row r="6617" spans="1:6" hidden="1" x14ac:dyDescent="0.25">
      <c r="A6617" t="s">
        <v>677</v>
      </c>
      <c r="B6617" t="s">
        <v>15</v>
      </c>
      <c r="E6617" s="3">
        <f>HYPERLINK("https://sao.dolgi.msk.ru/account/1404087979/", 1404087979)</f>
        <v>1404087979</v>
      </c>
      <c r="F6617">
        <v>-5073.29</v>
      </c>
    </row>
    <row r="6618" spans="1:6" x14ac:dyDescent="0.25">
      <c r="A6618" t="s">
        <v>677</v>
      </c>
      <c r="B6618" t="s">
        <v>16</v>
      </c>
      <c r="C6618" s="5" t="str">
        <f>" кв. "&amp;B6618</f>
        <v xml:space="preserve"> кв. 12</v>
      </c>
      <c r="D6618" s="5" t="str">
        <f>CONCATENATE(A6618,C6618)</f>
        <v>Ленинградское шоссе, дом 108 кв. 12</v>
      </c>
      <c r="E6618" s="3">
        <f>HYPERLINK("https://sao.dolgi.msk.ru/account/1404092671/", 1404092671)</f>
        <v>1404092671</v>
      </c>
      <c r="F6618">
        <v>64464.58</v>
      </c>
    </row>
    <row r="6619" spans="1:6" hidden="1" x14ac:dyDescent="0.25">
      <c r="A6619" t="s">
        <v>677</v>
      </c>
      <c r="B6619" t="s">
        <v>17</v>
      </c>
      <c r="E6619" s="3">
        <f>HYPERLINK("https://sao.dolgi.msk.ru/account/1404083644/", 1404083644)</f>
        <v>1404083644</v>
      </c>
      <c r="F6619">
        <v>-2787.17</v>
      </c>
    </row>
    <row r="6620" spans="1:6" hidden="1" x14ac:dyDescent="0.25">
      <c r="A6620" t="s">
        <v>677</v>
      </c>
      <c r="B6620" t="s">
        <v>18</v>
      </c>
      <c r="E6620" s="3">
        <f>HYPERLINK("https://sao.dolgi.msk.ru/account/1404150536/", 1404150536)</f>
        <v>1404150536</v>
      </c>
      <c r="F6620">
        <v>-427.95</v>
      </c>
    </row>
    <row r="6621" spans="1:6" hidden="1" x14ac:dyDescent="0.25">
      <c r="A6621" t="s">
        <v>677</v>
      </c>
      <c r="B6621" t="s">
        <v>19</v>
      </c>
      <c r="E6621" s="3">
        <f>HYPERLINK("https://sao.dolgi.msk.ru/account/1404084057/", 1404084057)</f>
        <v>1404084057</v>
      </c>
      <c r="F6621">
        <v>-5966.05</v>
      </c>
    </row>
    <row r="6622" spans="1:6" hidden="1" x14ac:dyDescent="0.25">
      <c r="A6622" t="s">
        <v>677</v>
      </c>
      <c r="B6622" t="s">
        <v>20</v>
      </c>
      <c r="E6622" s="3">
        <f>HYPERLINK("https://sao.dolgi.msk.ru/account/1404085762/", 1404085762)</f>
        <v>1404085762</v>
      </c>
      <c r="F6622">
        <v>-5792.92</v>
      </c>
    </row>
    <row r="6623" spans="1:6" hidden="1" x14ac:dyDescent="0.25">
      <c r="A6623" t="s">
        <v>677</v>
      </c>
      <c r="B6623" t="s">
        <v>21</v>
      </c>
      <c r="E6623" s="3">
        <f>HYPERLINK("https://sao.dolgi.msk.ru/account/1404083855/", 1404083855)</f>
        <v>1404083855</v>
      </c>
      <c r="F6623">
        <v>-3351.78</v>
      </c>
    </row>
    <row r="6624" spans="1:6" hidden="1" x14ac:dyDescent="0.25">
      <c r="A6624" t="s">
        <v>677</v>
      </c>
      <c r="B6624" t="s">
        <v>22</v>
      </c>
      <c r="E6624" s="3">
        <f>HYPERLINK("https://sao.dolgi.msk.ru/account/1404084479/", 1404084479)</f>
        <v>1404084479</v>
      </c>
      <c r="F6624">
        <v>-4536.3</v>
      </c>
    </row>
    <row r="6625" spans="1:6" hidden="1" x14ac:dyDescent="0.25">
      <c r="A6625" t="s">
        <v>677</v>
      </c>
      <c r="B6625" t="s">
        <v>23</v>
      </c>
      <c r="E6625" s="3">
        <f>HYPERLINK("https://sao.dolgi.msk.ru/account/1404083345/", 1404083345)</f>
        <v>1404083345</v>
      </c>
      <c r="F6625">
        <v>0</v>
      </c>
    </row>
    <row r="6626" spans="1:6" hidden="1" x14ac:dyDescent="0.25">
      <c r="A6626" t="s">
        <v>677</v>
      </c>
      <c r="B6626" t="s">
        <v>24</v>
      </c>
      <c r="E6626" s="3">
        <f>HYPERLINK("https://sao.dolgi.msk.ru/account/1404088293/", 1404088293)</f>
        <v>1404088293</v>
      </c>
      <c r="F6626">
        <v>-4743.6400000000003</v>
      </c>
    </row>
    <row r="6627" spans="1:6" hidden="1" x14ac:dyDescent="0.25">
      <c r="A6627" t="s">
        <v>677</v>
      </c>
      <c r="B6627" t="s">
        <v>25</v>
      </c>
      <c r="E6627" s="3">
        <f>HYPERLINK("https://sao.dolgi.msk.ru/account/1404089421/", 1404089421)</f>
        <v>1404089421</v>
      </c>
      <c r="F6627">
        <v>-4489.0200000000004</v>
      </c>
    </row>
    <row r="6628" spans="1:6" hidden="1" x14ac:dyDescent="0.25">
      <c r="A6628" t="s">
        <v>677</v>
      </c>
      <c r="B6628" t="s">
        <v>26</v>
      </c>
      <c r="E6628" s="3">
        <f>HYPERLINK("https://sao.dolgi.msk.ru/account/1404088883/", 1404088883)</f>
        <v>1404088883</v>
      </c>
      <c r="F6628">
        <v>-1666.72</v>
      </c>
    </row>
    <row r="6629" spans="1:6" hidden="1" x14ac:dyDescent="0.25">
      <c r="A6629" t="s">
        <v>677</v>
      </c>
      <c r="B6629" t="s">
        <v>27</v>
      </c>
      <c r="E6629" s="3">
        <f>HYPERLINK("https://sao.dolgi.msk.ru/account/1404087688/", 1404087688)</f>
        <v>1404087688</v>
      </c>
      <c r="F6629">
        <v>0</v>
      </c>
    </row>
    <row r="6630" spans="1:6" x14ac:dyDescent="0.25">
      <c r="A6630" t="s">
        <v>677</v>
      </c>
      <c r="B6630" t="s">
        <v>28</v>
      </c>
      <c r="C6630" s="5" t="str">
        <f>" кв. "&amp;B6630</f>
        <v xml:space="preserve"> кв. 24</v>
      </c>
      <c r="D6630" s="5" t="str">
        <f>CONCATENATE(A6630,C6630)</f>
        <v>Ленинградское шоссе, дом 108 кв. 24</v>
      </c>
      <c r="E6630" s="3">
        <f>HYPERLINK("https://sao.dolgi.msk.ru/account/1404089325/", 1404089325)</f>
        <v>1404089325</v>
      </c>
      <c r="F6630">
        <v>2948.27</v>
      </c>
    </row>
    <row r="6631" spans="1:6" hidden="1" x14ac:dyDescent="0.25">
      <c r="A6631" t="s">
        <v>677</v>
      </c>
      <c r="B6631" t="s">
        <v>29</v>
      </c>
      <c r="E6631" s="3">
        <f>HYPERLINK("https://sao.dolgi.msk.ru/account/1404084401/", 1404084401)</f>
        <v>1404084401</v>
      </c>
      <c r="F6631">
        <v>-5282.42</v>
      </c>
    </row>
    <row r="6632" spans="1:6" hidden="1" x14ac:dyDescent="0.25">
      <c r="A6632" t="s">
        <v>677</v>
      </c>
      <c r="B6632" t="s">
        <v>30</v>
      </c>
      <c r="E6632" s="3">
        <f>HYPERLINK("https://sao.dolgi.msk.ru/account/1404082545/", 1404082545)</f>
        <v>1404082545</v>
      </c>
      <c r="F6632">
        <v>-2434.06</v>
      </c>
    </row>
    <row r="6633" spans="1:6" hidden="1" x14ac:dyDescent="0.25">
      <c r="A6633" t="s">
        <v>677</v>
      </c>
      <c r="B6633" t="s">
        <v>31</v>
      </c>
      <c r="E6633" s="3">
        <f>HYPERLINK("https://sao.dolgi.msk.ru/account/1404085463/", 1404085463)</f>
        <v>1404085463</v>
      </c>
      <c r="F6633">
        <v>0</v>
      </c>
    </row>
    <row r="6634" spans="1:6" hidden="1" x14ac:dyDescent="0.25">
      <c r="A6634" t="s">
        <v>677</v>
      </c>
      <c r="B6634" t="s">
        <v>32</v>
      </c>
      <c r="E6634" s="3">
        <f>HYPERLINK("https://sao.dolgi.msk.ru/account/1404100045/", 1404100045)</f>
        <v>1404100045</v>
      </c>
      <c r="F6634">
        <v>-3332.34</v>
      </c>
    </row>
    <row r="6635" spans="1:6" x14ac:dyDescent="0.25">
      <c r="A6635" t="s">
        <v>677</v>
      </c>
      <c r="B6635" t="s">
        <v>33</v>
      </c>
      <c r="C6635" s="5" t="str">
        <f>" кв. "&amp;B6635</f>
        <v xml:space="preserve"> кв. 29</v>
      </c>
      <c r="D6635" s="5" t="str">
        <f>CONCATENATE(A6635,C6635)</f>
        <v>Ленинградское шоссе, дом 108 кв. 29</v>
      </c>
      <c r="E6635" s="3">
        <f>HYPERLINK("https://sao.dolgi.msk.ru/account/1404085615/", 1404085615)</f>
        <v>1404085615</v>
      </c>
      <c r="F6635">
        <v>53133.82</v>
      </c>
    </row>
    <row r="6636" spans="1:6" hidden="1" x14ac:dyDescent="0.25">
      <c r="A6636" t="s">
        <v>677</v>
      </c>
      <c r="B6636" t="s">
        <v>34</v>
      </c>
      <c r="E6636" s="3">
        <f>HYPERLINK("https://sao.dolgi.msk.ru/account/1404090326/", 1404090326)</f>
        <v>1404090326</v>
      </c>
      <c r="F6636">
        <v>-60675.7</v>
      </c>
    </row>
    <row r="6637" spans="1:6" hidden="1" x14ac:dyDescent="0.25">
      <c r="A6637" t="s">
        <v>677</v>
      </c>
      <c r="B6637" t="s">
        <v>35</v>
      </c>
      <c r="E6637" s="3">
        <f>HYPERLINK("https://sao.dolgi.msk.ru/account/1404089261/", 1404089261)</f>
        <v>1404089261</v>
      </c>
      <c r="F6637">
        <v>-7428.06</v>
      </c>
    </row>
    <row r="6638" spans="1:6" hidden="1" x14ac:dyDescent="0.25">
      <c r="A6638" t="s">
        <v>677</v>
      </c>
      <c r="B6638" t="s">
        <v>36</v>
      </c>
      <c r="E6638" s="3">
        <f>HYPERLINK("https://sao.dolgi.msk.ru/account/1404084129/", 1404084129)</f>
        <v>1404084129</v>
      </c>
      <c r="F6638">
        <v>0</v>
      </c>
    </row>
    <row r="6639" spans="1:6" hidden="1" x14ac:dyDescent="0.25">
      <c r="A6639" t="s">
        <v>677</v>
      </c>
      <c r="B6639" t="s">
        <v>37</v>
      </c>
      <c r="E6639" s="3">
        <f>HYPERLINK("https://sao.dolgi.msk.ru/account/1404084727/", 1404084727)</f>
        <v>1404084727</v>
      </c>
      <c r="F6639">
        <v>-3322.45</v>
      </c>
    </row>
    <row r="6640" spans="1:6" hidden="1" x14ac:dyDescent="0.25">
      <c r="A6640" t="s">
        <v>677</v>
      </c>
      <c r="B6640" t="s">
        <v>38</v>
      </c>
      <c r="E6640" s="3">
        <f>HYPERLINK("https://sao.dolgi.msk.ru/account/1404090086/", 1404090086)</f>
        <v>1404090086</v>
      </c>
      <c r="F6640">
        <v>-2192.1999999999998</v>
      </c>
    </row>
    <row r="6641" spans="1:6" hidden="1" x14ac:dyDescent="0.25">
      <c r="A6641" t="s">
        <v>677</v>
      </c>
      <c r="B6641" t="s">
        <v>39</v>
      </c>
      <c r="E6641" s="3">
        <f>HYPERLINK("https://sao.dolgi.msk.ru/account/1404082932/", 1404082932)</f>
        <v>1404082932</v>
      </c>
      <c r="F6641">
        <v>-4254.8100000000004</v>
      </c>
    </row>
    <row r="6642" spans="1:6" hidden="1" x14ac:dyDescent="0.25">
      <c r="A6642" t="s">
        <v>677</v>
      </c>
      <c r="B6642" t="s">
        <v>40</v>
      </c>
      <c r="E6642" s="3">
        <f>HYPERLINK("https://sao.dolgi.msk.ru/account/1404084284/", 1404084284)</f>
        <v>1404084284</v>
      </c>
      <c r="F6642">
        <v>-4778.41</v>
      </c>
    </row>
    <row r="6643" spans="1:6" hidden="1" x14ac:dyDescent="0.25">
      <c r="A6643" t="s">
        <v>677</v>
      </c>
      <c r="B6643" t="s">
        <v>41</v>
      </c>
      <c r="E6643" s="3">
        <f>HYPERLINK("https://sao.dolgi.msk.ru/account/1404085017/", 1404085017)</f>
        <v>1404085017</v>
      </c>
      <c r="F6643">
        <v>-3555.94</v>
      </c>
    </row>
    <row r="6644" spans="1:6" hidden="1" x14ac:dyDescent="0.25">
      <c r="A6644" t="s">
        <v>677</v>
      </c>
      <c r="B6644" t="s">
        <v>42</v>
      </c>
      <c r="E6644" s="3">
        <f>HYPERLINK("https://sao.dolgi.msk.ru/account/1404085535/", 1404085535)</f>
        <v>1404085535</v>
      </c>
      <c r="F6644">
        <v>-5285.21</v>
      </c>
    </row>
    <row r="6645" spans="1:6" hidden="1" x14ac:dyDescent="0.25">
      <c r="A6645" t="s">
        <v>677</v>
      </c>
      <c r="B6645" t="s">
        <v>43</v>
      </c>
      <c r="E6645" s="3">
        <f>HYPERLINK("https://sao.dolgi.msk.ru/account/1404083708/", 1404083708)</f>
        <v>1404083708</v>
      </c>
      <c r="F6645">
        <v>-6988.32</v>
      </c>
    </row>
    <row r="6646" spans="1:6" hidden="1" x14ac:dyDescent="0.25">
      <c r="A6646" t="s">
        <v>677</v>
      </c>
      <c r="B6646" t="s">
        <v>44</v>
      </c>
      <c r="E6646" s="3">
        <f>HYPERLINK("https://sao.dolgi.msk.ru/account/1404083169/", 1404083169)</f>
        <v>1404083169</v>
      </c>
      <c r="F6646">
        <v>0</v>
      </c>
    </row>
    <row r="6647" spans="1:6" hidden="1" x14ac:dyDescent="0.25">
      <c r="A6647" t="s">
        <v>677</v>
      </c>
      <c r="B6647" t="s">
        <v>45</v>
      </c>
      <c r="E6647" s="3">
        <f>HYPERLINK("https://sao.dolgi.msk.ru/account/1404083433/", 1404083433)</f>
        <v>1404083433</v>
      </c>
      <c r="F6647">
        <v>-2429.66</v>
      </c>
    </row>
    <row r="6648" spans="1:6" hidden="1" x14ac:dyDescent="0.25">
      <c r="A6648" t="s">
        <v>677</v>
      </c>
      <c r="B6648" t="s">
        <v>46</v>
      </c>
      <c r="E6648" s="3">
        <f>HYPERLINK("https://sao.dolgi.msk.ru/account/1404083548/", 1404083548)</f>
        <v>1404083548</v>
      </c>
      <c r="F6648">
        <v>-3015.83</v>
      </c>
    </row>
    <row r="6649" spans="1:6" hidden="1" x14ac:dyDescent="0.25">
      <c r="A6649" t="s">
        <v>677</v>
      </c>
      <c r="B6649" t="s">
        <v>47</v>
      </c>
      <c r="E6649" s="3">
        <f>HYPERLINK("https://sao.dolgi.msk.ru/account/1404085164/", 1404085164)</f>
        <v>1404085164</v>
      </c>
      <c r="F6649">
        <v>0</v>
      </c>
    </row>
    <row r="6650" spans="1:6" hidden="1" x14ac:dyDescent="0.25">
      <c r="A6650" t="s">
        <v>677</v>
      </c>
      <c r="B6650" t="s">
        <v>48</v>
      </c>
      <c r="E6650" s="3">
        <f>HYPERLINK("https://sao.dolgi.msk.ru/account/1404085076/", 1404085076)</f>
        <v>1404085076</v>
      </c>
      <c r="F6650">
        <v>-290.86</v>
      </c>
    </row>
    <row r="6651" spans="1:6" hidden="1" x14ac:dyDescent="0.25">
      <c r="A6651" t="s">
        <v>677</v>
      </c>
      <c r="B6651" t="s">
        <v>49</v>
      </c>
      <c r="E6651" s="3">
        <f>HYPERLINK("https://sao.dolgi.msk.ru/account/1404087186/", 1404087186)</f>
        <v>1404087186</v>
      </c>
      <c r="F6651">
        <v>-5239.88</v>
      </c>
    </row>
    <row r="6652" spans="1:6" x14ac:dyDescent="0.25">
      <c r="A6652" t="s">
        <v>677</v>
      </c>
      <c r="B6652" t="s">
        <v>50</v>
      </c>
      <c r="C6652" s="5" t="str">
        <f>" кв. "&amp;B6652</f>
        <v xml:space="preserve"> кв. 46</v>
      </c>
      <c r="D6652" s="5" t="str">
        <f>CONCATENATE(A6652,C6652)</f>
        <v>Ленинградское шоссе, дом 108 кв. 46</v>
      </c>
      <c r="E6652" s="3">
        <f>HYPERLINK("https://sao.dolgi.msk.ru/account/1404083943/", 1404083943)</f>
        <v>1404083943</v>
      </c>
      <c r="F6652">
        <v>4189.03</v>
      </c>
    </row>
    <row r="6653" spans="1:6" hidden="1" x14ac:dyDescent="0.25">
      <c r="A6653" t="s">
        <v>677</v>
      </c>
      <c r="B6653" t="s">
        <v>51</v>
      </c>
      <c r="E6653" s="3">
        <f>HYPERLINK("https://sao.dolgi.msk.ru/account/1404083978/", 1404083978)</f>
        <v>1404083978</v>
      </c>
      <c r="F6653">
        <v>0</v>
      </c>
    </row>
    <row r="6654" spans="1:6" x14ac:dyDescent="0.25">
      <c r="A6654" t="s">
        <v>677</v>
      </c>
      <c r="B6654" t="s">
        <v>52</v>
      </c>
      <c r="C6654" s="5" t="str">
        <f>" кв. "&amp;B6654</f>
        <v xml:space="preserve"> кв. 48</v>
      </c>
      <c r="D6654" s="5" t="str">
        <f>CONCATENATE(A6654,C6654)</f>
        <v>Ленинградское шоссе, дом 108 кв. 48</v>
      </c>
      <c r="E6654" s="3">
        <f>HYPERLINK("https://sao.dolgi.msk.ru/account/1404088023/", 1404088023)</f>
        <v>1404088023</v>
      </c>
      <c r="F6654">
        <v>1143.8900000000001</v>
      </c>
    </row>
    <row r="6655" spans="1:6" hidden="1" x14ac:dyDescent="0.25">
      <c r="A6655" t="s">
        <v>677</v>
      </c>
      <c r="B6655" t="s">
        <v>53</v>
      </c>
      <c r="E6655" s="3">
        <f>HYPERLINK("https://sao.dolgi.msk.ru/account/1404087039/", 1404087039)</f>
        <v>1404087039</v>
      </c>
      <c r="F6655">
        <v>-2474.75</v>
      </c>
    </row>
    <row r="6656" spans="1:6" hidden="1" x14ac:dyDescent="0.25">
      <c r="A6656" t="s">
        <v>677</v>
      </c>
      <c r="B6656" t="s">
        <v>54</v>
      </c>
      <c r="E6656" s="3">
        <f>HYPERLINK("https://sao.dolgi.msk.ru/account/1404085631/", 1404085631)</f>
        <v>1404085631</v>
      </c>
      <c r="F6656">
        <v>-3766.46</v>
      </c>
    </row>
    <row r="6657" spans="1:6" hidden="1" x14ac:dyDescent="0.25">
      <c r="A6657" t="s">
        <v>677</v>
      </c>
      <c r="B6657" t="s">
        <v>55</v>
      </c>
      <c r="E6657" s="3">
        <f>HYPERLINK("https://sao.dolgi.msk.ru/account/1404082879/", 1404082879)</f>
        <v>1404082879</v>
      </c>
      <c r="F6657">
        <v>-1186.73</v>
      </c>
    </row>
    <row r="6658" spans="1:6" hidden="1" x14ac:dyDescent="0.25">
      <c r="A6658" t="s">
        <v>677</v>
      </c>
      <c r="B6658" t="s">
        <v>56</v>
      </c>
      <c r="E6658" s="3">
        <f>HYPERLINK("https://sao.dolgi.msk.ru/account/1404083935/", 1404083935)</f>
        <v>1404083935</v>
      </c>
      <c r="F6658">
        <v>-5288.72</v>
      </c>
    </row>
    <row r="6659" spans="1:6" hidden="1" x14ac:dyDescent="0.25">
      <c r="A6659" t="s">
        <v>677</v>
      </c>
      <c r="B6659" t="s">
        <v>57</v>
      </c>
      <c r="E6659" s="3">
        <f>HYPERLINK("https://sao.dolgi.msk.ru/account/1404082959/", 1404082959)</f>
        <v>1404082959</v>
      </c>
      <c r="F6659">
        <v>-6852.11</v>
      </c>
    </row>
    <row r="6660" spans="1:6" x14ac:dyDescent="0.25">
      <c r="A6660" t="s">
        <v>677</v>
      </c>
      <c r="B6660" t="s">
        <v>58</v>
      </c>
      <c r="C6660" s="5" t="str">
        <f>" кв. "&amp;B6660</f>
        <v xml:space="preserve"> кв. 54</v>
      </c>
      <c r="D6660" s="5" t="str">
        <f>CONCATENATE(A6660,C6660)</f>
        <v>Ленинградское шоссе, дом 108 кв. 54</v>
      </c>
      <c r="E6660" s="3">
        <f>HYPERLINK("https://sao.dolgi.msk.ru/account/1404090991/", 1404090991)</f>
        <v>1404090991</v>
      </c>
      <c r="F6660">
        <v>27761.77</v>
      </c>
    </row>
    <row r="6661" spans="1:6" hidden="1" x14ac:dyDescent="0.25">
      <c r="A6661" t="s">
        <v>677</v>
      </c>
      <c r="B6661" t="s">
        <v>59</v>
      </c>
      <c r="E6661" s="3">
        <f>HYPERLINK("https://sao.dolgi.msk.ru/account/1404087805/", 1404087805)</f>
        <v>1404087805</v>
      </c>
      <c r="F6661">
        <v>-2286.79</v>
      </c>
    </row>
    <row r="6662" spans="1:6" hidden="1" x14ac:dyDescent="0.25">
      <c r="A6662" t="s">
        <v>677</v>
      </c>
      <c r="B6662" t="s">
        <v>60</v>
      </c>
      <c r="E6662" s="3">
        <f>HYPERLINK("https://sao.dolgi.msk.ru/account/1404139898/", 1404139898)</f>
        <v>1404139898</v>
      </c>
      <c r="F6662">
        <v>-7406.17</v>
      </c>
    </row>
    <row r="6663" spans="1:6" hidden="1" x14ac:dyDescent="0.25">
      <c r="A6663" t="s">
        <v>677</v>
      </c>
      <c r="B6663" t="s">
        <v>61</v>
      </c>
      <c r="E6663" s="3">
        <f>HYPERLINK("https://sao.dolgi.msk.ru/account/1404088891/", 1404088891)</f>
        <v>1404088891</v>
      </c>
      <c r="F6663">
        <v>-2758.15</v>
      </c>
    </row>
    <row r="6664" spans="1:6" hidden="1" x14ac:dyDescent="0.25">
      <c r="A6664" t="s">
        <v>677</v>
      </c>
      <c r="B6664" t="s">
        <v>62</v>
      </c>
      <c r="E6664" s="3">
        <f>HYPERLINK("https://sao.dolgi.msk.ru/account/1404089958/", 1404089958)</f>
        <v>1404089958</v>
      </c>
      <c r="F6664">
        <v>-6032.34</v>
      </c>
    </row>
    <row r="6665" spans="1:6" x14ac:dyDescent="0.25">
      <c r="A6665" t="s">
        <v>677</v>
      </c>
      <c r="B6665" t="s">
        <v>63</v>
      </c>
      <c r="C6665" s="5" t="str">
        <f>" кв. "&amp;B6665</f>
        <v xml:space="preserve"> кв. 59</v>
      </c>
      <c r="D6665" s="5" t="str">
        <f>CONCATENATE(A6665,C6665)</f>
        <v>Ленинградское шоссе, дом 108 кв. 59</v>
      </c>
      <c r="E6665" s="3">
        <f>HYPERLINK("https://sao.dolgi.msk.ru/account/1404088402/", 1404088402)</f>
        <v>1404088402</v>
      </c>
      <c r="F6665">
        <v>90141.37</v>
      </c>
    </row>
    <row r="6666" spans="1:6" hidden="1" x14ac:dyDescent="0.25">
      <c r="A6666" t="s">
        <v>677</v>
      </c>
      <c r="B6666" t="s">
        <v>64</v>
      </c>
      <c r="E6666" s="3">
        <f>HYPERLINK("https://sao.dolgi.msk.ru/account/1404086896/", 1404086896)</f>
        <v>1404086896</v>
      </c>
      <c r="F6666">
        <v>-5046.05</v>
      </c>
    </row>
    <row r="6667" spans="1:6" hidden="1" x14ac:dyDescent="0.25">
      <c r="A6667" t="s">
        <v>677</v>
      </c>
      <c r="B6667" t="s">
        <v>65</v>
      </c>
      <c r="E6667" s="3">
        <f>HYPERLINK("https://sao.dolgi.msk.ru/account/1404083679/", 1404083679)</f>
        <v>1404083679</v>
      </c>
      <c r="F6667">
        <v>-5524.26</v>
      </c>
    </row>
    <row r="6668" spans="1:6" hidden="1" x14ac:dyDescent="0.25">
      <c r="A6668" t="s">
        <v>677</v>
      </c>
      <c r="B6668" t="s">
        <v>66</v>
      </c>
      <c r="E6668" s="3">
        <f>HYPERLINK("https://sao.dolgi.msk.ru/account/1404100061/", 1404100061)</f>
        <v>1404100061</v>
      </c>
      <c r="F6668">
        <v>-2213.71</v>
      </c>
    </row>
    <row r="6669" spans="1:6" x14ac:dyDescent="0.25">
      <c r="A6669" t="s">
        <v>677</v>
      </c>
      <c r="B6669" t="s">
        <v>67</v>
      </c>
      <c r="C6669" s="5" t="str">
        <f>" кв. "&amp;B6669</f>
        <v xml:space="preserve"> кв. 63</v>
      </c>
      <c r="D6669" s="5" t="str">
        <f>CONCATENATE(A6669,C6669)</f>
        <v>Ленинградское шоссе, дом 108 кв. 63</v>
      </c>
      <c r="E6669" s="3">
        <f>HYPERLINK("https://sao.dolgi.msk.ru/account/1404088189/", 1404088189)</f>
        <v>1404088189</v>
      </c>
      <c r="F6669">
        <v>18437.150000000001</v>
      </c>
    </row>
    <row r="6670" spans="1:6" hidden="1" x14ac:dyDescent="0.25">
      <c r="A6670" t="s">
        <v>677</v>
      </c>
      <c r="B6670" t="s">
        <v>68</v>
      </c>
      <c r="E6670" s="3">
        <f>HYPERLINK("https://sao.dolgi.msk.ru/account/1404085199/", 1404085199)</f>
        <v>1404085199</v>
      </c>
      <c r="F6670">
        <v>-5113.32</v>
      </c>
    </row>
    <row r="6671" spans="1:6" hidden="1" x14ac:dyDescent="0.25">
      <c r="A6671" t="s">
        <v>677</v>
      </c>
      <c r="B6671" t="s">
        <v>69</v>
      </c>
      <c r="E6671" s="3">
        <f>HYPERLINK("https://sao.dolgi.msk.ru/account/1404083337/", 1404083337)</f>
        <v>1404083337</v>
      </c>
      <c r="F6671">
        <v>-6221.08</v>
      </c>
    </row>
    <row r="6672" spans="1:6" hidden="1" x14ac:dyDescent="0.25">
      <c r="A6672" t="s">
        <v>677</v>
      </c>
      <c r="B6672" t="s">
        <v>70</v>
      </c>
      <c r="E6672" s="3">
        <f>HYPERLINK("https://sao.dolgi.msk.ru/account/1404083927/", 1404083927)</f>
        <v>1404083927</v>
      </c>
      <c r="F6672">
        <v>-5887.57</v>
      </c>
    </row>
    <row r="6673" spans="1:6" hidden="1" x14ac:dyDescent="0.25">
      <c r="A6673" t="s">
        <v>677</v>
      </c>
      <c r="B6673" t="s">
        <v>71</v>
      </c>
      <c r="E6673" s="3">
        <f>HYPERLINK("https://sao.dolgi.msk.ru/account/1404091046/", 1404091046)</f>
        <v>1404091046</v>
      </c>
      <c r="F6673">
        <v>-4982.3900000000003</v>
      </c>
    </row>
    <row r="6674" spans="1:6" hidden="1" x14ac:dyDescent="0.25">
      <c r="A6674" t="s">
        <v>677</v>
      </c>
      <c r="B6674" t="s">
        <v>72</v>
      </c>
      <c r="E6674" s="3">
        <f>HYPERLINK("https://sao.dolgi.msk.ru/account/1404087557/", 1404087557)</f>
        <v>1404087557</v>
      </c>
      <c r="F6674">
        <v>0</v>
      </c>
    </row>
    <row r="6675" spans="1:6" hidden="1" x14ac:dyDescent="0.25">
      <c r="A6675" t="s">
        <v>677</v>
      </c>
      <c r="B6675" t="s">
        <v>73</v>
      </c>
      <c r="E6675" s="3">
        <f>HYPERLINK("https://sao.dolgi.msk.ru/account/1404085842/", 1404085842)</f>
        <v>1404085842</v>
      </c>
      <c r="F6675">
        <v>-4773.88</v>
      </c>
    </row>
    <row r="6676" spans="1:6" hidden="1" x14ac:dyDescent="0.25">
      <c r="A6676" t="s">
        <v>677</v>
      </c>
      <c r="B6676" t="s">
        <v>74</v>
      </c>
      <c r="E6676" s="3">
        <f>HYPERLINK("https://sao.dolgi.msk.ru/account/1404082975/", 1404082975)</f>
        <v>1404082975</v>
      </c>
      <c r="F6676">
        <v>-5302.24</v>
      </c>
    </row>
    <row r="6677" spans="1:6" hidden="1" x14ac:dyDescent="0.25">
      <c r="A6677" t="s">
        <v>677</v>
      </c>
      <c r="B6677" t="s">
        <v>75</v>
      </c>
      <c r="E6677" s="3">
        <f>HYPERLINK("https://sao.dolgi.msk.ru/account/1404088541/", 1404088541)</f>
        <v>1404088541</v>
      </c>
      <c r="F6677">
        <v>-3794.33</v>
      </c>
    </row>
    <row r="6678" spans="1:6" hidden="1" x14ac:dyDescent="0.25">
      <c r="A6678" t="s">
        <v>677</v>
      </c>
      <c r="B6678" t="s">
        <v>76</v>
      </c>
      <c r="E6678" s="3">
        <f>HYPERLINK("https://sao.dolgi.msk.ru/account/1404087696/", 1404087696)</f>
        <v>1404087696</v>
      </c>
      <c r="F6678">
        <v>-3775.31</v>
      </c>
    </row>
    <row r="6679" spans="1:6" hidden="1" x14ac:dyDescent="0.25">
      <c r="A6679" t="s">
        <v>677</v>
      </c>
      <c r="B6679" t="s">
        <v>77</v>
      </c>
      <c r="E6679" s="3">
        <f>HYPERLINK("https://sao.dolgi.msk.ru/account/1404084719/", 1404084719)</f>
        <v>1404084719</v>
      </c>
      <c r="F6679">
        <v>-5659.24</v>
      </c>
    </row>
    <row r="6680" spans="1:6" hidden="1" x14ac:dyDescent="0.25">
      <c r="A6680" t="s">
        <v>677</v>
      </c>
      <c r="B6680" t="s">
        <v>78</v>
      </c>
      <c r="E6680" s="3">
        <f>HYPERLINK("https://sao.dolgi.msk.ru/account/1404090721/", 1404090721)</f>
        <v>1404090721</v>
      </c>
      <c r="F6680">
        <v>-1460.98</v>
      </c>
    </row>
    <row r="6681" spans="1:6" hidden="1" x14ac:dyDescent="0.25">
      <c r="A6681" t="s">
        <v>677</v>
      </c>
      <c r="B6681" t="s">
        <v>79</v>
      </c>
      <c r="E6681" s="3">
        <f>HYPERLINK("https://sao.dolgi.msk.ru/account/1404084081/", 1404084081)</f>
        <v>1404084081</v>
      </c>
      <c r="F6681">
        <v>-4135.8500000000004</v>
      </c>
    </row>
    <row r="6682" spans="1:6" hidden="1" x14ac:dyDescent="0.25">
      <c r="A6682" t="s">
        <v>677</v>
      </c>
      <c r="B6682" t="s">
        <v>80</v>
      </c>
      <c r="E6682" s="3">
        <f>HYPERLINK("https://sao.dolgi.msk.ru/account/1404086386/", 1404086386)</f>
        <v>1404086386</v>
      </c>
      <c r="F6682">
        <v>-736.03</v>
      </c>
    </row>
    <row r="6683" spans="1:6" hidden="1" x14ac:dyDescent="0.25">
      <c r="A6683" t="s">
        <v>677</v>
      </c>
      <c r="B6683" t="s">
        <v>81</v>
      </c>
      <c r="E6683" s="3">
        <f>HYPERLINK("https://sao.dolgi.msk.ru/account/1404084241/", 1404084241)</f>
        <v>1404084241</v>
      </c>
      <c r="F6683">
        <v>-3771.11</v>
      </c>
    </row>
    <row r="6684" spans="1:6" hidden="1" x14ac:dyDescent="0.25">
      <c r="A6684" t="s">
        <v>677</v>
      </c>
      <c r="B6684" t="s">
        <v>82</v>
      </c>
      <c r="E6684" s="3">
        <f>HYPERLINK("https://sao.dolgi.msk.ru/account/1404082836/", 1404082836)</f>
        <v>1404082836</v>
      </c>
      <c r="F6684">
        <v>-2619.2800000000002</v>
      </c>
    </row>
    <row r="6685" spans="1:6" hidden="1" x14ac:dyDescent="0.25">
      <c r="A6685" t="s">
        <v>677</v>
      </c>
      <c r="B6685" t="s">
        <v>83</v>
      </c>
      <c r="E6685" s="3">
        <f>HYPERLINK("https://sao.dolgi.msk.ru/account/1404085113/", 1404085113)</f>
        <v>1404085113</v>
      </c>
      <c r="F6685">
        <v>0</v>
      </c>
    </row>
    <row r="6686" spans="1:6" hidden="1" x14ac:dyDescent="0.25">
      <c r="A6686" t="s">
        <v>677</v>
      </c>
      <c r="B6686" t="s">
        <v>84</v>
      </c>
      <c r="E6686" s="3">
        <f>HYPERLINK("https://sao.dolgi.msk.ru/account/1404084938/", 1404084938)</f>
        <v>1404084938</v>
      </c>
      <c r="F6686">
        <v>-2921.36</v>
      </c>
    </row>
    <row r="6687" spans="1:6" hidden="1" x14ac:dyDescent="0.25">
      <c r="A6687" t="s">
        <v>677</v>
      </c>
      <c r="B6687" t="s">
        <v>85</v>
      </c>
      <c r="E6687" s="3">
        <f>HYPERLINK("https://sao.dolgi.msk.ru/account/1404083919/", 1404083919)</f>
        <v>1404083919</v>
      </c>
      <c r="F6687">
        <v>-3500.24</v>
      </c>
    </row>
    <row r="6688" spans="1:6" hidden="1" x14ac:dyDescent="0.25">
      <c r="A6688" t="s">
        <v>677</v>
      </c>
      <c r="B6688" t="s">
        <v>86</v>
      </c>
      <c r="E6688" s="3">
        <f>HYPERLINK("https://sao.dolgi.msk.ru/account/1404088947/", 1404088947)</f>
        <v>1404088947</v>
      </c>
      <c r="F6688">
        <v>0</v>
      </c>
    </row>
    <row r="6689" spans="1:6" hidden="1" x14ac:dyDescent="0.25">
      <c r="A6689" t="s">
        <v>677</v>
      </c>
      <c r="B6689" t="s">
        <v>87</v>
      </c>
      <c r="E6689" s="3">
        <f>HYPERLINK("https://sao.dolgi.msk.ru/account/1404083409/", 1404083409)</f>
        <v>1404083409</v>
      </c>
      <c r="F6689">
        <v>-3139.35</v>
      </c>
    </row>
    <row r="6690" spans="1:6" hidden="1" x14ac:dyDescent="0.25">
      <c r="A6690" t="s">
        <v>677</v>
      </c>
      <c r="B6690" t="s">
        <v>88</v>
      </c>
      <c r="E6690" s="3">
        <f>HYPERLINK("https://sao.dolgi.msk.ru/account/1404085922/", 1404085922)</f>
        <v>1404085922</v>
      </c>
      <c r="F6690">
        <v>-4359.93</v>
      </c>
    </row>
    <row r="6691" spans="1:6" hidden="1" x14ac:dyDescent="0.25">
      <c r="A6691" t="s">
        <v>677</v>
      </c>
      <c r="B6691" t="s">
        <v>89</v>
      </c>
      <c r="E6691" s="3">
        <f>HYPERLINK("https://sao.dolgi.msk.ru/account/1404082828/", 1404082828)</f>
        <v>1404082828</v>
      </c>
      <c r="F6691">
        <v>-3631.45</v>
      </c>
    </row>
    <row r="6692" spans="1:6" hidden="1" x14ac:dyDescent="0.25">
      <c r="A6692" t="s">
        <v>677</v>
      </c>
      <c r="B6692" t="s">
        <v>90</v>
      </c>
      <c r="E6692" s="3">
        <f>HYPERLINK("https://sao.dolgi.msk.ru/account/1404087151/", 1404087151)</f>
        <v>1404087151</v>
      </c>
      <c r="F6692">
        <v>-3013.83</v>
      </c>
    </row>
    <row r="6693" spans="1:6" hidden="1" x14ac:dyDescent="0.25">
      <c r="A6693" t="s">
        <v>677</v>
      </c>
      <c r="B6693" t="s">
        <v>91</v>
      </c>
      <c r="E6693" s="3">
        <f>HYPERLINK("https://sao.dolgi.msk.ru/account/1404090908/", 1404090908)</f>
        <v>1404090908</v>
      </c>
      <c r="F6693">
        <v>-7252.64</v>
      </c>
    </row>
    <row r="6694" spans="1:6" hidden="1" x14ac:dyDescent="0.25">
      <c r="A6694" t="s">
        <v>677</v>
      </c>
      <c r="B6694" t="s">
        <v>92</v>
      </c>
      <c r="E6694" s="3">
        <f>HYPERLINK("https://sao.dolgi.msk.ru/account/1404083329/", 1404083329)</f>
        <v>1404083329</v>
      </c>
      <c r="F6694">
        <v>-4511.09</v>
      </c>
    </row>
    <row r="6695" spans="1:6" hidden="1" x14ac:dyDescent="0.25">
      <c r="A6695" t="s">
        <v>677</v>
      </c>
      <c r="B6695" t="s">
        <v>93</v>
      </c>
      <c r="E6695" s="3">
        <f>HYPERLINK("https://sao.dolgi.msk.ru/account/1404085332/", 1404085332)</f>
        <v>1404085332</v>
      </c>
      <c r="F6695">
        <v>0</v>
      </c>
    </row>
    <row r="6696" spans="1:6" hidden="1" x14ac:dyDescent="0.25">
      <c r="A6696" t="s">
        <v>677</v>
      </c>
      <c r="B6696" t="s">
        <v>94</v>
      </c>
      <c r="E6696" s="3">
        <f>HYPERLINK("https://sao.dolgi.msk.ru/account/1404090035/", 1404090035)</f>
        <v>1404090035</v>
      </c>
      <c r="F6696">
        <v>-677.26</v>
      </c>
    </row>
    <row r="6697" spans="1:6" hidden="1" x14ac:dyDescent="0.25">
      <c r="A6697" t="s">
        <v>677</v>
      </c>
      <c r="B6697" t="s">
        <v>95</v>
      </c>
      <c r="E6697" s="3">
        <f>HYPERLINK("https://sao.dolgi.msk.ru/account/1404085949/", 1404085949)</f>
        <v>1404085949</v>
      </c>
      <c r="F6697">
        <v>-5274.73</v>
      </c>
    </row>
    <row r="6698" spans="1:6" hidden="1" x14ac:dyDescent="0.25">
      <c r="A6698" t="s">
        <v>677</v>
      </c>
      <c r="B6698" t="s">
        <v>96</v>
      </c>
      <c r="E6698" s="3">
        <f>HYPERLINK("https://sao.dolgi.msk.ru/account/1404083521/", 1404083521)</f>
        <v>1404083521</v>
      </c>
      <c r="F6698">
        <v>-3718</v>
      </c>
    </row>
    <row r="6699" spans="1:6" hidden="1" x14ac:dyDescent="0.25">
      <c r="A6699" t="s">
        <v>677</v>
      </c>
      <c r="B6699" t="s">
        <v>97</v>
      </c>
      <c r="E6699" s="3">
        <f>HYPERLINK("https://sao.dolgi.msk.ru/account/1404090916/", 1404090916)</f>
        <v>1404090916</v>
      </c>
      <c r="F6699">
        <v>-3995.92</v>
      </c>
    </row>
    <row r="6700" spans="1:6" hidden="1" x14ac:dyDescent="0.25">
      <c r="A6700" t="s">
        <v>677</v>
      </c>
      <c r="B6700" t="s">
        <v>98</v>
      </c>
      <c r="E6700" s="3">
        <f>HYPERLINK("https://sao.dolgi.msk.ru/account/1404086087/", 1404086087)</f>
        <v>1404086087</v>
      </c>
      <c r="F6700">
        <v>-9582.61</v>
      </c>
    </row>
    <row r="6701" spans="1:6" hidden="1" x14ac:dyDescent="0.25">
      <c r="A6701" t="s">
        <v>677</v>
      </c>
      <c r="B6701" t="s">
        <v>99</v>
      </c>
      <c r="E6701" s="3">
        <f>HYPERLINK("https://sao.dolgi.msk.ru/account/1404082561/", 1404082561)</f>
        <v>1404082561</v>
      </c>
      <c r="F6701">
        <v>-5495.04</v>
      </c>
    </row>
    <row r="6702" spans="1:6" hidden="1" x14ac:dyDescent="0.25">
      <c r="A6702" t="s">
        <v>677</v>
      </c>
      <c r="B6702" t="s">
        <v>100</v>
      </c>
      <c r="E6702" s="3">
        <f>HYPERLINK("https://sao.dolgi.msk.ru/account/1404088533/", 1404088533)</f>
        <v>1404088533</v>
      </c>
      <c r="F6702">
        <v>-4228.59</v>
      </c>
    </row>
    <row r="6703" spans="1:6" hidden="1" x14ac:dyDescent="0.25">
      <c r="A6703" t="s">
        <v>677</v>
      </c>
      <c r="B6703" t="s">
        <v>101</v>
      </c>
      <c r="E6703" s="3">
        <f>HYPERLINK("https://sao.dolgi.msk.ru/account/1404088453/", 1404088453)</f>
        <v>1404088453</v>
      </c>
      <c r="F6703">
        <v>-3548.17</v>
      </c>
    </row>
    <row r="6704" spans="1:6" hidden="1" x14ac:dyDescent="0.25">
      <c r="A6704" t="s">
        <v>677</v>
      </c>
      <c r="B6704" t="s">
        <v>102</v>
      </c>
      <c r="E6704" s="3">
        <f>HYPERLINK("https://sao.dolgi.msk.ru/account/1404085156/", 1404085156)</f>
        <v>1404085156</v>
      </c>
      <c r="F6704">
        <v>-4528.99</v>
      </c>
    </row>
    <row r="6705" spans="1:6" hidden="1" x14ac:dyDescent="0.25">
      <c r="A6705" t="s">
        <v>677</v>
      </c>
      <c r="B6705" t="s">
        <v>103</v>
      </c>
      <c r="E6705" s="3">
        <f>HYPERLINK("https://sao.dolgi.msk.ru/account/1404083513/", 1404083513)</f>
        <v>1404083513</v>
      </c>
      <c r="F6705">
        <v>-5133.46</v>
      </c>
    </row>
    <row r="6706" spans="1:6" hidden="1" x14ac:dyDescent="0.25">
      <c r="A6706" t="s">
        <v>677</v>
      </c>
      <c r="B6706" t="s">
        <v>104</v>
      </c>
      <c r="E6706" s="3">
        <f>HYPERLINK("https://sao.dolgi.msk.ru/account/1404090684/", 1404090684)</f>
        <v>1404090684</v>
      </c>
      <c r="F6706">
        <v>-7082.17</v>
      </c>
    </row>
    <row r="6707" spans="1:6" hidden="1" x14ac:dyDescent="0.25">
      <c r="A6707" t="s">
        <v>677</v>
      </c>
      <c r="B6707" t="s">
        <v>105</v>
      </c>
      <c r="E6707" s="3">
        <f>HYPERLINK("https://sao.dolgi.msk.ru/account/1404089237/", 1404089237)</f>
        <v>1404089237</v>
      </c>
      <c r="F6707">
        <v>0</v>
      </c>
    </row>
    <row r="6708" spans="1:6" hidden="1" x14ac:dyDescent="0.25">
      <c r="A6708" t="s">
        <v>677</v>
      </c>
      <c r="B6708" t="s">
        <v>106</v>
      </c>
      <c r="E6708" s="3">
        <f>HYPERLINK("https://sao.dolgi.msk.ru/account/1404082844/", 1404082844)</f>
        <v>1404082844</v>
      </c>
      <c r="F6708">
        <v>-5814.97</v>
      </c>
    </row>
    <row r="6709" spans="1:6" hidden="1" x14ac:dyDescent="0.25">
      <c r="A6709" t="s">
        <v>677</v>
      </c>
      <c r="B6709" t="s">
        <v>107</v>
      </c>
      <c r="E6709" s="3">
        <f>HYPERLINK("https://sao.dolgi.msk.ru/account/1404089878/", 1404089878)</f>
        <v>1404089878</v>
      </c>
      <c r="F6709">
        <v>-3343.61</v>
      </c>
    </row>
    <row r="6710" spans="1:6" x14ac:dyDescent="0.25">
      <c r="A6710" t="s">
        <v>677</v>
      </c>
      <c r="B6710" t="s">
        <v>108</v>
      </c>
      <c r="C6710" s="5" t="str">
        <f t="shared" ref="C6710:C6711" si="270">" кв. "&amp;B6710</f>
        <v xml:space="preserve"> кв. 104</v>
      </c>
      <c r="D6710" s="5" t="str">
        <f>CONCATENATE(A6710,C6710)</f>
        <v>Ленинградское шоссе, дом 108 кв. 104</v>
      </c>
      <c r="E6710" s="3">
        <f>HYPERLINK("https://sao.dolgi.msk.ru/account/1404083636/", 1404083636)</f>
        <v>1404083636</v>
      </c>
      <c r="F6710">
        <v>6385.96</v>
      </c>
    </row>
    <row r="6711" spans="1:6" x14ac:dyDescent="0.25">
      <c r="A6711" t="s">
        <v>677</v>
      </c>
      <c r="B6711" t="s">
        <v>109</v>
      </c>
      <c r="C6711" s="5" t="str">
        <f t="shared" si="270"/>
        <v xml:space="preserve"> кв. 105</v>
      </c>
      <c r="D6711" s="5" t="str">
        <f>CONCATENATE(A6711,C6711)</f>
        <v>Ленинградское шоссе, дом 108 кв. 105</v>
      </c>
      <c r="E6711" s="3">
        <f>HYPERLINK("https://sao.dolgi.msk.ru/account/1404090262/", 1404090262)</f>
        <v>1404090262</v>
      </c>
      <c r="F6711">
        <v>3872.23</v>
      </c>
    </row>
    <row r="6712" spans="1:6" hidden="1" x14ac:dyDescent="0.25">
      <c r="A6712" t="s">
        <v>677</v>
      </c>
      <c r="B6712" t="s">
        <v>110</v>
      </c>
      <c r="E6712" s="3">
        <f>HYPERLINK("https://sao.dolgi.msk.ru/account/1404088269/", 1404088269)</f>
        <v>1404088269</v>
      </c>
      <c r="F6712">
        <v>-3181.27</v>
      </c>
    </row>
    <row r="6713" spans="1:6" hidden="1" x14ac:dyDescent="0.25">
      <c r="A6713" t="s">
        <v>677</v>
      </c>
      <c r="B6713" t="s">
        <v>111</v>
      </c>
      <c r="E6713" s="3">
        <f>HYPERLINK("https://sao.dolgi.msk.ru/account/1404082465/", 1404082465)</f>
        <v>1404082465</v>
      </c>
      <c r="F6713">
        <v>-2651.11</v>
      </c>
    </row>
    <row r="6714" spans="1:6" hidden="1" x14ac:dyDescent="0.25">
      <c r="A6714" t="s">
        <v>677</v>
      </c>
      <c r="B6714" t="s">
        <v>112</v>
      </c>
      <c r="E6714" s="3">
        <f>HYPERLINK("https://sao.dolgi.msk.ru/account/1404084946/", 1404084946)</f>
        <v>1404084946</v>
      </c>
      <c r="F6714">
        <v>-4016.21</v>
      </c>
    </row>
    <row r="6715" spans="1:6" hidden="1" x14ac:dyDescent="0.25">
      <c r="A6715" t="s">
        <v>677</v>
      </c>
      <c r="B6715" t="s">
        <v>113</v>
      </c>
      <c r="E6715" s="3">
        <f>HYPERLINK("https://sao.dolgi.msk.ru/account/1404089974/", 1404089974)</f>
        <v>1404089974</v>
      </c>
      <c r="F6715">
        <v>0</v>
      </c>
    </row>
    <row r="6716" spans="1:6" hidden="1" x14ac:dyDescent="0.25">
      <c r="A6716" t="s">
        <v>677</v>
      </c>
      <c r="B6716" t="s">
        <v>114</v>
      </c>
      <c r="E6716" s="3">
        <f>HYPERLINK("https://sao.dolgi.msk.ru/account/1404082668/", 1404082668)</f>
        <v>1404082668</v>
      </c>
      <c r="F6716">
        <v>-293.39999999999998</v>
      </c>
    </row>
    <row r="6717" spans="1:6" x14ac:dyDescent="0.25">
      <c r="A6717" t="s">
        <v>677</v>
      </c>
      <c r="B6717" t="s">
        <v>115</v>
      </c>
      <c r="C6717" s="5" t="str">
        <f>" кв. "&amp;B6717</f>
        <v xml:space="preserve"> кв. 111</v>
      </c>
      <c r="D6717" s="5" t="str">
        <f>CONCATENATE(A6717,C6717)</f>
        <v>Ленинградское шоссе, дом 108 кв. 111</v>
      </c>
      <c r="E6717" s="3">
        <f>HYPERLINK("https://sao.dolgi.msk.ru/account/1404083089/", 1404083089)</f>
        <v>1404083089</v>
      </c>
      <c r="F6717">
        <v>44579.199999999997</v>
      </c>
    </row>
    <row r="6718" spans="1:6" hidden="1" x14ac:dyDescent="0.25">
      <c r="A6718" t="s">
        <v>677</v>
      </c>
      <c r="B6718" t="s">
        <v>116</v>
      </c>
      <c r="E6718" s="3">
        <f>HYPERLINK("https://sao.dolgi.msk.ru/account/1404084233/", 1404084233)</f>
        <v>1404084233</v>
      </c>
      <c r="F6718">
        <v>-2957.94</v>
      </c>
    </row>
    <row r="6719" spans="1:6" hidden="1" x14ac:dyDescent="0.25">
      <c r="A6719" t="s">
        <v>677</v>
      </c>
      <c r="B6719" t="s">
        <v>117</v>
      </c>
      <c r="E6719" s="3">
        <f>HYPERLINK("https://sao.dolgi.msk.ru/account/1404089587/", 1404089587)</f>
        <v>1404089587</v>
      </c>
      <c r="F6719">
        <v>-4193.17</v>
      </c>
    </row>
    <row r="6720" spans="1:6" hidden="1" x14ac:dyDescent="0.25">
      <c r="A6720" t="s">
        <v>677</v>
      </c>
      <c r="B6720" t="s">
        <v>118</v>
      </c>
      <c r="E6720" s="3">
        <f>HYPERLINK("https://sao.dolgi.msk.ru/account/1404083476/", 1404083476)</f>
        <v>1404083476</v>
      </c>
      <c r="F6720">
        <v>-6720.48</v>
      </c>
    </row>
    <row r="6721" spans="1:6" hidden="1" x14ac:dyDescent="0.25">
      <c r="A6721" t="s">
        <v>677</v>
      </c>
      <c r="B6721" t="s">
        <v>119</v>
      </c>
      <c r="E6721" s="3">
        <f>HYPERLINK("https://sao.dolgi.msk.ru/account/1404091329/", 1404091329)</f>
        <v>1404091329</v>
      </c>
      <c r="F6721">
        <v>-8397.7000000000007</v>
      </c>
    </row>
    <row r="6722" spans="1:6" hidden="1" x14ac:dyDescent="0.25">
      <c r="A6722" t="s">
        <v>677</v>
      </c>
      <c r="B6722" t="s">
        <v>120</v>
      </c>
      <c r="E6722" s="3">
        <f>HYPERLINK("https://sao.dolgi.msk.ru/account/1404088103/", 1404088103)</f>
        <v>1404088103</v>
      </c>
      <c r="F6722">
        <v>0</v>
      </c>
    </row>
    <row r="6723" spans="1:6" x14ac:dyDescent="0.25">
      <c r="A6723" t="s">
        <v>677</v>
      </c>
      <c r="B6723" t="s">
        <v>121</v>
      </c>
      <c r="C6723" s="5" t="str">
        <f>" кв. "&amp;B6723</f>
        <v xml:space="preserve"> кв. 117</v>
      </c>
      <c r="D6723" s="5" t="str">
        <f>CONCATENATE(A6723,C6723)</f>
        <v>Ленинградское шоссе, дом 108 кв. 117</v>
      </c>
      <c r="E6723" s="3">
        <f>HYPERLINK("https://sao.dolgi.msk.ru/account/1404090748/", 1404090748)</f>
        <v>1404090748</v>
      </c>
      <c r="F6723">
        <v>60354.69</v>
      </c>
    </row>
    <row r="6724" spans="1:6" hidden="1" x14ac:dyDescent="0.25">
      <c r="A6724" t="s">
        <v>677</v>
      </c>
      <c r="B6724" t="s">
        <v>122</v>
      </c>
      <c r="E6724" s="3">
        <f>HYPERLINK("https://sao.dolgi.msk.ru/account/1404087813/", 1404087813)</f>
        <v>1404087813</v>
      </c>
      <c r="F6724">
        <v>-568.55999999999995</v>
      </c>
    </row>
    <row r="6725" spans="1:6" x14ac:dyDescent="0.25">
      <c r="A6725" t="s">
        <v>677</v>
      </c>
      <c r="B6725" t="s">
        <v>123</v>
      </c>
      <c r="C6725" s="5" t="str">
        <f>" кв. "&amp;B6725</f>
        <v xml:space="preserve"> кв. 119</v>
      </c>
      <c r="D6725" s="5" t="str">
        <f>CONCATENATE(A6725,C6725)</f>
        <v>Ленинградское шоссе, дом 108 кв. 119</v>
      </c>
      <c r="E6725" s="3">
        <f>HYPERLINK("https://sao.dolgi.msk.ru/account/1404087389/", 1404087389)</f>
        <v>1404087389</v>
      </c>
      <c r="F6725">
        <v>2874.14</v>
      </c>
    </row>
    <row r="6726" spans="1:6" hidden="1" x14ac:dyDescent="0.25">
      <c r="A6726" t="s">
        <v>677</v>
      </c>
      <c r="B6726" t="s">
        <v>124</v>
      </c>
      <c r="E6726" s="3">
        <f>HYPERLINK("https://sao.dolgi.msk.ru/account/1404089333/", 1404089333)</f>
        <v>1404089333</v>
      </c>
      <c r="F6726">
        <v>0</v>
      </c>
    </row>
    <row r="6727" spans="1:6" hidden="1" x14ac:dyDescent="0.25">
      <c r="A6727" t="s">
        <v>677</v>
      </c>
      <c r="B6727" t="s">
        <v>125</v>
      </c>
      <c r="E6727" s="3">
        <f>HYPERLINK("https://sao.dolgi.msk.ru/account/1404086271/", 1404086271)</f>
        <v>1404086271</v>
      </c>
      <c r="F6727">
        <v>-5974.72</v>
      </c>
    </row>
    <row r="6728" spans="1:6" x14ac:dyDescent="0.25">
      <c r="A6728" t="s">
        <v>677</v>
      </c>
      <c r="B6728" t="s">
        <v>126</v>
      </c>
      <c r="C6728" s="5" t="str">
        <f>" кв. "&amp;B6728</f>
        <v xml:space="preserve"> кв. 122</v>
      </c>
      <c r="D6728" s="5" t="str">
        <f>CONCATENATE(A6728,C6728)</f>
        <v>Ленинградское шоссе, дом 108 кв. 122</v>
      </c>
      <c r="E6728" s="3">
        <f>HYPERLINK("https://sao.dolgi.msk.ru/account/1404086773/", 1404086773)</f>
        <v>1404086773</v>
      </c>
      <c r="F6728">
        <v>4468.67</v>
      </c>
    </row>
    <row r="6729" spans="1:6" hidden="1" x14ac:dyDescent="0.25">
      <c r="A6729" t="s">
        <v>677</v>
      </c>
      <c r="B6729" t="s">
        <v>127</v>
      </c>
      <c r="E6729" s="3">
        <f>HYPERLINK("https://sao.dolgi.msk.ru/account/1404085025/", 1404085025)</f>
        <v>1404085025</v>
      </c>
      <c r="F6729">
        <v>0</v>
      </c>
    </row>
    <row r="6730" spans="1:6" hidden="1" x14ac:dyDescent="0.25">
      <c r="A6730" t="s">
        <v>677</v>
      </c>
      <c r="B6730" t="s">
        <v>128</v>
      </c>
      <c r="E6730" s="3">
        <f>HYPERLINK("https://sao.dolgi.msk.ru/account/1404084452/", 1404084452)</f>
        <v>1404084452</v>
      </c>
      <c r="F6730">
        <v>-8070.68</v>
      </c>
    </row>
    <row r="6731" spans="1:6" hidden="1" x14ac:dyDescent="0.25">
      <c r="A6731" t="s">
        <v>677</v>
      </c>
      <c r="B6731" t="s">
        <v>129</v>
      </c>
      <c r="E6731" s="3">
        <f>HYPERLINK("https://sao.dolgi.msk.ru/account/1404083994/", 1404083994)</f>
        <v>1404083994</v>
      </c>
      <c r="F6731">
        <v>-4267.63</v>
      </c>
    </row>
    <row r="6732" spans="1:6" hidden="1" x14ac:dyDescent="0.25">
      <c r="A6732" t="s">
        <v>677</v>
      </c>
      <c r="B6732" t="s">
        <v>130</v>
      </c>
      <c r="E6732" s="3">
        <f>HYPERLINK("https://sao.dolgi.msk.ru/account/1404084815/", 1404084815)</f>
        <v>1404084815</v>
      </c>
      <c r="F6732">
        <v>-4245.8500000000004</v>
      </c>
    </row>
    <row r="6733" spans="1:6" hidden="1" x14ac:dyDescent="0.25">
      <c r="A6733" t="s">
        <v>677</v>
      </c>
      <c r="B6733" t="s">
        <v>131</v>
      </c>
      <c r="E6733" s="3">
        <f>HYPERLINK("https://sao.dolgi.msk.ru/account/1404091134/", 1404091134)</f>
        <v>1404091134</v>
      </c>
      <c r="F6733">
        <v>0</v>
      </c>
    </row>
    <row r="6734" spans="1:6" hidden="1" x14ac:dyDescent="0.25">
      <c r="A6734" t="s">
        <v>677</v>
      </c>
      <c r="B6734" t="s">
        <v>132</v>
      </c>
      <c r="E6734" s="3">
        <f>HYPERLINK("https://sao.dolgi.msk.ru/account/1404091054/", 1404091054)</f>
        <v>1404091054</v>
      </c>
      <c r="F6734">
        <v>-255.72</v>
      </c>
    </row>
    <row r="6735" spans="1:6" hidden="1" x14ac:dyDescent="0.25">
      <c r="A6735" t="s">
        <v>677</v>
      </c>
      <c r="B6735" t="s">
        <v>133</v>
      </c>
      <c r="E6735" s="3">
        <f>HYPERLINK("https://sao.dolgi.msk.ru/account/1404084049/", 1404084049)</f>
        <v>1404084049</v>
      </c>
      <c r="F6735">
        <v>-3108.51</v>
      </c>
    </row>
    <row r="6736" spans="1:6" hidden="1" x14ac:dyDescent="0.25">
      <c r="A6736" t="s">
        <v>677</v>
      </c>
      <c r="B6736" t="s">
        <v>134</v>
      </c>
      <c r="E6736" s="3">
        <f>HYPERLINK("https://sao.dolgi.msk.ru/account/1404083249/", 1404083249)</f>
        <v>1404083249</v>
      </c>
      <c r="F6736">
        <v>-4227.95</v>
      </c>
    </row>
    <row r="6737" spans="1:6" hidden="1" x14ac:dyDescent="0.25">
      <c r="A6737" t="s">
        <v>677</v>
      </c>
      <c r="B6737" t="s">
        <v>135</v>
      </c>
      <c r="E6737" s="3">
        <f>HYPERLINK("https://sao.dolgi.msk.ru/account/1404089384/", 1404089384)</f>
        <v>1404089384</v>
      </c>
      <c r="F6737">
        <v>0</v>
      </c>
    </row>
    <row r="6738" spans="1:6" hidden="1" x14ac:dyDescent="0.25">
      <c r="A6738" t="s">
        <v>677</v>
      </c>
      <c r="B6738" t="s">
        <v>136</v>
      </c>
      <c r="E6738" s="3">
        <f>HYPERLINK("https://sao.dolgi.msk.ru/account/1404083142/", 1404083142)</f>
        <v>1404083142</v>
      </c>
      <c r="F6738">
        <v>-1771.28</v>
      </c>
    </row>
    <row r="6739" spans="1:6" hidden="1" x14ac:dyDescent="0.25">
      <c r="A6739" t="s">
        <v>677</v>
      </c>
      <c r="B6739" t="s">
        <v>137</v>
      </c>
      <c r="E6739" s="3">
        <f>HYPERLINK("https://sao.dolgi.msk.ru/account/1404088525/", 1404088525)</f>
        <v>1404088525</v>
      </c>
      <c r="F6739">
        <v>-3238.32</v>
      </c>
    </row>
    <row r="6740" spans="1:6" x14ac:dyDescent="0.25">
      <c r="A6740" t="s">
        <v>677</v>
      </c>
      <c r="B6740" t="s">
        <v>138</v>
      </c>
      <c r="C6740" s="5" t="str">
        <f>" кв. "&amp;B6740</f>
        <v xml:space="preserve"> кв. 134</v>
      </c>
      <c r="D6740" s="5" t="str">
        <f>CONCATENATE(A6740,C6740)</f>
        <v>Ленинградское шоссе, дом 108 кв. 134</v>
      </c>
      <c r="E6740" s="3">
        <f>HYPERLINK("https://sao.dolgi.msk.ru/account/1404090342/", 1404090342)</f>
        <v>1404090342</v>
      </c>
      <c r="F6740">
        <v>3612.4</v>
      </c>
    </row>
    <row r="6741" spans="1:6" hidden="1" x14ac:dyDescent="0.25">
      <c r="A6741" t="s">
        <v>677</v>
      </c>
      <c r="B6741" t="s">
        <v>139</v>
      </c>
      <c r="E6741" s="3">
        <f>HYPERLINK("https://sao.dolgi.msk.ru/account/1404087944/", 1404087944)</f>
        <v>1404087944</v>
      </c>
      <c r="F6741">
        <v>-4290.45</v>
      </c>
    </row>
    <row r="6742" spans="1:6" hidden="1" x14ac:dyDescent="0.25">
      <c r="A6742" t="s">
        <v>677</v>
      </c>
      <c r="B6742" t="s">
        <v>140</v>
      </c>
      <c r="E6742" s="3">
        <f>HYPERLINK("https://sao.dolgi.msk.ru/account/1404086992/", 1404086992)</f>
        <v>1404086992</v>
      </c>
      <c r="F6742">
        <v>-4168.37</v>
      </c>
    </row>
    <row r="6743" spans="1:6" hidden="1" x14ac:dyDescent="0.25">
      <c r="A6743" t="s">
        <v>677</v>
      </c>
      <c r="B6743" t="s">
        <v>141</v>
      </c>
      <c r="E6743" s="3">
        <f>HYPERLINK("https://sao.dolgi.msk.ru/account/1404088306/", 1404088306)</f>
        <v>1404088306</v>
      </c>
      <c r="F6743">
        <v>-4783.7700000000004</v>
      </c>
    </row>
    <row r="6744" spans="1:6" hidden="1" x14ac:dyDescent="0.25">
      <c r="A6744" t="s">
        <v>677</v>
      </c>
      <c r="B6744" t="s">
        <v>142</v>
      </c>
      <c r="E6744" s="3">
        <f>HYPERLINK("https://sao.dolgi.msk.ru/account/1404100096/", 1404100096)</f>
        <v>1404100096</v>
      </c>
      <c r="F6744">
        <v>0</v>
      </c>
    </row>
    <row r="6745" spans="1:6" hidden="1" x14ac:dyDescent="0.25">
      <c r="A6745" t="s">
        <v>677</v>
      </c>
      <c r="B6745" t="s">
        <v>142</v>
      </c>
      <c r="E6745" s="3">
        <f>HYPERLINK("https://sao.dolgi.msk.ru/account/1404149607/", 1404149607)</f>
        <v>1404149607</v>
      </c>
      <c r="F6745">
        <v>-6039.69</v>
      </c>
    </row>
    <row r="6746" spans="1:6" hidden="1" x14ac:dyDescent="0.25">
      <c r="A6746" t="s">
        <v>677</v>
      </c>
      <c r="B6746" t="s">
        <v>143</v>
      </c>
      <c r="E6746" s="3">
        <f>HYPERLINK("https://sao.dolgi.msk.ru/account/1404083468/", 1404083468)</f>
        <v>1404083468</v>
      </c>
      <c r="F6746">
        <v>-4110.3599999999997</v>
      </c>
    </row>
    <row r="6747" spans="1:6" hidden="1" x14ac:dyDescent="0.25">
      <c r="A6747" t="s">
        <v>677</v>
      </c>
      <c r="B6747" t="s">
        <v>144</v>
      </c>
      <c r="E6747" s="3">
        <f>HYPERLINK("https://sao.dolgi.msk.ru/account/1404089309/", 1404089309)</f>
        <v>1404089309</v>
      </c>
      <c r="F6747">
        <v>-3180.7</v>
      </c>
    </row>
    <row r="6748" spans="1:6" hidden="1" x14ac:dyDescent="0.25">
      <c r="A6748" t="s">
        <v>677</v>
      </c>
      <c r="B6748" t="s">
        <v>145</v>
      </c>
      <c r="E6748" s="3">
        <f>HYPERLINK("https://sao.dolgi.msk.ru/account/1404085121/", 1404085121)</f>
        <v>1404085121</v>
      </c>
      <c r="F6748">
        <v>-6032.34</v>
      </c>
    </row>
    <row r="6749" spans="1:6" hidden="1" x14ac:dyDescent="0.25">
      <c r="A6749" t="s">
        <v>677</v>
      </c>
      <c r="B6749" t="s">
        <v>146</v>
      </c>
      <c r="E6749" s="3">
        <f>HYPERLINK("https://sao.dolgi.msk.ru/account/1404091169/", 1404091169)</f>
        <v>1404091169</v>
      </c>
      <c r="F6749">
        <v>-860.47</v>
      </c>
    </row>
    <row r="6750" spans="1:6" hidden="1" x14ac:dyDescent="0.25">
      <c r="A6750" t="s">
        <v>677</v>
      </c>
      <c r="B6750" t="s">
        <v>147</v>
      </c>
      <c r="E6750" s="3">
        <f>HYPERLINK("https://sao.dolgi.msk.ru/account/1404086298/", 1404086298)</f>
        <v>1404086298</v>
      </c>
      <c r="F6750">
        <v>-10.42</v>
      </c>
    </row>
    <row r="6751" spans="1:6" hidden="1" x14ac:dyDescent="0.25">
      <c r="A6751" t="s">
        <v>677</v>
      </c>
      <c r="B6751" t="s">
        <v>147</v>
      </c>
      <c r="E6751" s="3">
        <f>HYPERLINK("https://sao.dolgi.msk.ru/account/1404090692/", 1404090692)</f>
        <v>1404090692</v>
      </c>
      <c r="F6751">
        <v>-41.61</v>
      </c>
    </row>
    <row r="6752" spans="1:6" hidden="1" x14ac:dyDescent="0.25">
      <c r="A6752" t="s">
        <v>677</v>
      </c>
      <c r="B6752" t="s">
        <v>148</v>
      </c>
      <c r="E6752" s="3">
        <f>HYPERLINK("https://sao.dolgi.msk.ru/account/1404084751/", 1404084751)</f>
        <v>1404084751</v>
      </c>
      <c r="F6752">
        <v>0</v>
      </c>
    </row>
    <row r="6753" spans="1:6" hidden="1" x14ac:dyDescent="0.25">
      <c r="A6753" t="s">
        <v>677</v>
      </c>
      <c r="B6753" t="s">
        <v>149</v>
      </c>
      <c r="E6753" s="3">
        <f>HYPERLINK("https://sao.dolgi.msk.ru/account/1404084022/", 1404084022)</f>
        <v>1404084022</v>
      </c>
      <c r="F6753">
        <v>-2928.79</v>
      </c>
    </row>
    <row r="6754" spans="1:6" hidden="1" x14ac:dyDescent="0.25">
      <c r="A6754" t="s">
        <v>677</v>
      </c>
      <c r="B6754" t="s">
        <v>150</v>
      </c>
      <c r="E6754" s="3">
        <f>HYPERLINK("https://sao.dolgi.msk.ru/account/1404082924/", 1404082924)</f>
        <v>1404082924</v>
      </c>
      <c r="F6754">
        <v>-8734.44</v>
      </c>
    </row>
    <row r="6755" spans="1:6" hidden="1" x14ac:dyDescent="0.25">
      <c r="A6755" t="s">
        <v>677</v>
      </c>
      <c r="B6755" t="s">
        <v>151</v>
      </c>
      <c r="E6755" s="3">
        <f>HYPERLINK("https://sao.dolgi.msk.ru/account/1404083185/", 1404083185)</f>
        <v>1404083185</v>
      </c>
      <c r="F6755">
        <v>-5572.97</v>
      </c>
    </row>
    <row r="6756" spans="1:6" hidden="1" x14ac:dyDescent="0.25">
      <c r="A6756" t="s">
        <v>677</v>
      </c>
      <c r="B6756" t="s">
        <v>152</v>
      </c>
      <c r="E6756" s="3">
        <f>HYPERLINK("https://sao.dolgi.msk.ru/account/1404090318/", 1404090318)</f>
        <v>1404090318</v>
      </c>
      <c r="F6756">
        <v>-3357.01</v>
      </c>
    </row>
    <row r="6757" spans="1:6" hidden="1" x14ac:dyDescent="0.25">
      <c r="A6757" t="s">
        <v>677</v>
      </c>
      <c r="B6757" t="s">
        <v>153</v>
      </c>
      <c r="E6757" s="3">
        <f>HYPERLINK("https://sao.dolgi.msk.ru/account/1404087442/", 1404087442)</f>
        <v>1404087442</v>
      </c>
      <c r="F6757">
        <v>-6980.44</v>
      </c>
    </row>
    <row r="6758" spans="1:6" hidden="1" x14ac:dyDescent="0.25">
      <c r="A6758" t="s">
        <v>677</v>
      </c>
      <c r="B6758" t="s">
        <v>154</v>
      </c>
      <c r="E6758" s="3">
        <f>HYPERLINK("https://sao.dolgi.msk.ru/account/1404090764/", 1404090764)</f>
        <v>1404090764</v>
      </c>
      <c r="F6758">
        <v>-5127.62</v>
      </c>
    </row>
    <row r="6759" spans="1:6" hidden="1" x14ac:dyDescent="0.25">
      <c r="A6759" t="s">
        <v>677</v>
      </c>
      <c r="B6759" t="s">
        <v>155</v>
      </c>
      <c r="E6759" s="3">
        <f>HYPERLINK("https://sao.dolgi.msk.ru/account/1404087733/", 1404087733)</f>
        <v>1404087733</v>
      </c>
      <c r="F6759">
        <v>-1192.3800000000001</v>
      </c>
    </row>
    <row r="6760" spans="1:6" hidden="1" x14ac:dyDescent="0.25">
      <c r="A6760" t="s">
        <v>677</v>
      </c>
      <c r="B6760" t="s">
        <v>156</v>
      </c>
      <c r="E6760" s="3">
        <f>HYPERLINK("https://sao.dolgi.msk.ru/account/1404088322/", 1404088322)</f>
        <v>1404088322</v>
      </c>
      <c r="F6760">
        <v>-4166.8100000000004</v>
      </c>
    </row>
    <row r="6761" spans="1:6" hidden="1" x14ac:dyDescent="0.25">
      <c r="A6761" t="s">
        <v>677</v>
      </c>
      <c r="B6761" t="s">
        <v>157</v>
      </c>
      <c r="E6761" s="3">
        <f>HYPERLINK("https://sao.dolgi.msk.ru/account/1404083353/", 1404083353)</f>
        <v>1404083353</v>
      </c>
      <c r="F6761">
        <v>-3554.53</v>
      </c>
    </row>
    <row r="6762" spans="1:6" hidden="1" x14ac:dyDescent="0.25">
      <c r="A6762" t="s">
        <v>677</v>
      </c>
      <c r="B6762" t="s">
        <v>158</v>
      </c>
      <c r="E6762" s="3">
        <f>HYPERLINK("https://sao.dolgi.msk.ru/account/1404084882/", 1404084882)</f>
        <v>1404084882</v>
      </c>
      <c r="F6762">
        <v>-5208.6000000000004</v>
      </c>
    </row>
    <row r="6763" spans="1:6" hidden="1" x14ac:dyDescent="0.25">
      <c r="A6763" t="s">
        <v>677</v>
      </c>
      <c r="B6763" t="s">
        <v>159</v>
      </c>
      <c r="E6763" s="3">
        <f>HYPERLINK("https://sao.dolgi.msk.ru/account/1404085383/", 1404085383)</f>
        <v>1404085383</v>
      </c>
      <c r="F6763">
        <v>-7556.35</v>
      </c>
    </row>
    <row r="6764" spans="1:6" hidden="1" x14ac:dyDescent="0.25">
      <c r="A6764" t="s">
        <v>677</v>
      </c>
      <c r="B6764" t="s">
        <v>160</v>
      </c>
      <c r="E6764" s="3">
        <f>HYPERLINK("https://sao.dolgi.msk.ru/account/1404089077/", 1404089077)</f>
        <v>1404089077</v>
      </c>
      <c r="F6764">
        <v>-4338.93</v>
      </c>
    </row>
    <row r="6765" spans="1:6" x14ac:dyDescent="0.25">
      <c r="A6765" t="s">
        <v>677</v>
      </c>
      <c r="B6765" t="s">
        <v>161</v>
      </c>
      <c r="C6765" s="5" t="str">
        <f>" кв. "&amp;B6765</f>
        <v xml:space="preserve"> кв. 157</v>
      </c>
      <c r="D6765" s="5" t="str">
        <f>CONCATENATE(A6765,C6765)</f>
        <v>Ленинградское шоссе, дом 108 кв. 157</v>
      </c>
      <c r="E6765" s="3">
        <f>HYPERLINK("https://sao.dolgi.msk.ru/account/1404086124/", 1404086124)</f>
        <v>1404086124</v>
      </c>
      <c r="F6765">
        <v>3199.72</v>
      </c>
    </row>
    <row r="6766" spans="1:6" hidden="1" x14ac:dyDescent="0.25">
      <c r="A6766" t="s">
        <v>677</v>
      </c>
      <c r="B6766" t="s">
        <v>162</v>
      </c>
      <c r="E6766" s="3">
        <f>HYPERLINK("https://sao.dolgi.msk.ru/account/1404091249/", 1404091249)</f>
        <v>1404091249</v>
      </c>
      <c r="F6766">
        <v>-7776.02</v>
      </c>
    </row>
    <row r="6767" spans="1:6" hidden="1" x14ac:dyDescent="0.25">
      <c r="A6767" t="s">
        <v>677</v>
      </c>
      <c r="B6767" t="s">
        <v>163</v>
      </c>
      <c r="E6767" s="3">
        <f>HYPERLINK("https://sao.dolgi.msk.ru/account/1404090289/", 1404090289)</f>
        <v>1404090289</v>
      </c>
      <c r="F6767">
        <v>-2392.2399999999998</v>
      </c>
    </row>
    <row r="6768" spans="1:6" hidden="1" x14ac:dyDescent="0.25">
      <c r="A6768" t="s">
        <v>677</v>
      </c>
      <c r="B6768" t="s">
        <v>164</v>
      </c>
      <c r="E6768" s="3">
        <f>HYPERLINK("https://sao.dolgi.msk.ru/account/1404087282/", 1404087282)</f>
        <v>1404087282</v>
      </c>
      <c r="F6768">
        <v>-4292.16</v>
      </c>
    </row>
    <row r="6769" spans="1:6" hidden="1" x14ac:dyDescent="0.25">
      <c r="A6769" t="s">
        <v>677</v>
      </c>
      <c r="B6769" t="s">
        <v>165</v>
      </c>
      <c r="E6769" s="3">
        <f>HYPERLINK("https://sao.dolgi.msk.ru/account/1404084903/", 1404084903)</f>
        <v>1404084903</v>
      </c>
      <c r="F6769">
        <v>-6559.89</v>
      </c>
    </row>
    <row r="6770" spans="1:6" hidden="1" x14ac:dyDescent="0.25">
      <c r="A6770" t="s">
        <v>677</v>
      </c>
      <c r="B6770" t="s">
        <v>166</v>
      </c>
      <c r="E6770" s="3">
        <f>HYPERLINK("https://sao.dolgi.msk.ru/account/1404084321/", 1404084321)</f>
        <v>1404084321</v>
      </c>
      <c r="F6770">
        <v>-2718.08</v>
      </c>
    </row>
    <row r="6771" spans="1:6" hidden="1" x14ac:dyDescent="0.25">
      <c r="A6771" t="s">
        <v>677</v>
      </c>
      <c r="B6771" t="s">
        <v>167</v>
      </c>
      <c r="E6771" s="3">
        <f>HYPERLINK("https://sao.dolgi.msk.ru/account/1404084612/", 1404084612)</f>
        <v>1404084612</v>
      </c>
      <c r="F6771">
        <v>-7578.67</v>
      </c>
    </row>
    <row r="6772" spans="1:6" hidden="1" x14ac:dyDescent="0.25">
      <c r="A6772" t="s">
        <v>677</v>
      </c>
      <c r="B6772" t="s">
        <v>168</v>
      </c>
      <c r="E6772" s="3">
        <f>HYPERLINK("https://sao.dolgi.msk.ru/account/1404084487/", 1404084487)</f>
        <v>1404084487</v>
      </c>
      <c r="F6772">
        <v>0</v>
      </c>
    </row>
    <row r="6773" spans="1:6" hidden="1" x14ac:dyDescent="0.25">
      <c r="A6773" t="s">
        <v>677</v>
      </c>
      <c r="B6773" t="s">
        <v>169</v>
      </c>
      <c r="E6773" s="3">
        <f>HYPERLINK("https://sao.dolgi.msk.ru/account/1404084436/", 1404084436)</f>
        <v>1404084436</v>
      </c>
      <c r="F6773">
        <v>-4075.9</v>
      </c>
    </row>
    <row r="6774" spans="1:6" hidden="1" x14ac:dyDescent="0.25">
      <c r="A6774" t="s">
        <v>677</v>
      </c>
      <c r="B6774" t="s">
        <v>170</v>
      </c>
      <c r="E6774" s="3">
        <f>HYPERLINK("https://sao.dolgi.msk.ru/account/1404084655/", 1404084655)</f>
        <v>1404084655</v>
      </c>
      <c r="F6774">
        <v>-3941.3</v>
      </c>
    </row>
    <row r="6775" spans="1:6" hidden="1" x14ac:dyDescent="0.25">
      <c r="A6775" t="s">
        <v>677</v>
      </c>
      <c r="B6775" t="s">
        <v>171</v>
      </c>
      <c r="E6775" s="3">
        <f>HYPERLINK("https://sao.dolgi.msk.ru/account/1404087258/", 1404087258)</f>
        <v>1404087258</v>
      </c>
      <c r="F6775">
        <v>-4588.03</v>
      </c>
    </row>
    <row r="6776" spans="1:6" hidden="1" x14ac:dyDescent="0.25">
      <c r="A6776" t="s">
        <v>677</v>
      </c>
      <c r="B6776" t="s">
        <v>172</v>
      </c>
      <c r="E6776" s="3">
        <f>HYPERLINK("https://sao.dolgi.msk.ru/account/1404088349/", 1404088349)</f>
        <v>1404088349</v>
      </c>
      <c r="F6776">
        <v>-5561</v>
      </c>
    </row>
    <row r="6777" spans="1:6" hidden="1" x14ac:dyDescent="0.25">
      <c r="A6777" t="s">
        <v>677</v>
      </c>
      <c r="B6777" t="s">
        <v>173</v>
      </c>
      <c r="E6777" s="3">
        <f>HYPERLINK("https://sao.dolgi.msk.ru/account/1404085244/", 1404085244)</f>
        <v>1404085244</v>
      </c>
      <c r="F6777">
        <v>0</v>
      </c>
    </row>
    <row r="6778" spans="1:6" hidden="1" x14ac:dyDescent="0.25">
      <c r="A6778" t="s">
        <v>677</v>
      </c>
      <c r="B6778" t="s">
        <v>174</v>
      </c>
      <c r="E6778" s="3">
        <f>HYPERLINK("https://sao.dolgi.msk.ru/account/1404089122/", 1404089122)</f>
        <v>1404089122</v>
      </c>
      <c r="F6778">
        <v>-2209.35</v>
      </c>
    </row>
    <row r="6779" spans="1:6" hidden="1" x14ac:dyDescent="0.25">
      <c r="A6779" t="s">
        <v>677</v>
      </c>
      <c r="B6779" t="s">
        <v>175</v>
      </c>
      <c r="E6779" s="3">
        <f>HYPERLINK("https://sao.dolgi.msk.ru/account/1404086925/", 1404086925)</f>
        <v>1404086925</v>
      </c>
      <c r="F6779">
        <v>-4839.3900000000003</v>
      </c>
    </row>
    <row r="6780" spans="1:6" hidden="1" x14ac:dyDescent="0.25">
      <c r="A6780" t="s">
        <v>677</v>
      </c>
      <c r="B6780" t="s">
        <v>176</v>
      </c>
      <c r="E6780" s="3">
        <f>HYPERLINK("https://sao.dolgi.msk.ru/account/1404086802/", 1404086802)</f>
        <v>1404086802</v>
      </c>
      <c r="F6780">
        <v>-7415.02</v>
      </c>
    </row>
    <row r="6781" spans="1:6" hidden="1" x14ac:dyDescent="0.25">
      <c r="A6781" t="s">
        <v>677</v>
      </c>
      <c r="B6781" t="s">
        <v>177</v>
      </c>
      <c r="E6781" s="3">
        <f>HYPERLINK("https://sao.dolgi.msk.ru/account/1404087311/", 1404087311)</f>
        <v>1404087311</v>
      </c>
      <c r="F6781">
        <v>-4698.04</v>
      </c>
    </row>
    <row r="6782" spans="1:6" hidden="1" x14ac:dyDescent="0.25">
      <c r="A6782" t="s">
        <v>677</v>
      </c>
      <c r="B6782" t="s">
        <v>178</v>
      </c>
      <c r="E6782" s="3">
        <f>HYPERLINK("https://sao.dolgi.msk.ru/account/1404086159/", 1404086159)</f>
        <v>1404086159</v>
      </c>
      <c r="F6782">
        <v>-8669.74</v>
      </c>
    </row>
    <row r="6783" spans="1:6" hidden="1" x14ac:dyDescent="0.25">
      <c r="A6783" t="s">
        <v>677</v>
      </c>
      <c r="B6783" t="s">
        <v>179</v>
      </c>
      <c r="E6783" s="3">
        <f>HYPERLINK("https://sao.dolgi.msk.ru/account/1404087821/", 1404087821)</f>
        <v>1404087821</v>
      </c>
      <c r="F6783">
        <v>-285.8</v>
      </c>
    </row>
    <row r="6784" spans="1:6" hidden="1" x14ac:dyDescent="0.25">
      <c r="A6784" t="s">
        <v>677</v>
      </c>
      <c r="B6784" t="s">
        <v>180</v>
      </c>
      <c r="E6784" s="3">
        <f>HYPERLINK("https://sao.dolgi.msk.ru/account/1404083791/", 1404083791)</f>
        <v>1404083791</v>
      </c>
      <c r="F6784">
        <v>-4860.22</v>
      </c>
    </row>
    <row r="6785" spans="1:6" hidden="1" x14ac:dyDescent="0.25">
      <c r="A6785" t="s">
        <v>677</v>
      </c>
      <c r="B6785" t="s">
        <v>181</v>
      </c>
      <c r="E6785" s="3">
        <f>HYPERLINK("https://sao.dolgi.msk.ru/account/1404090393/", 1404090393)</f>
        <v>1404090393</v>
      </c>
      <c r="F6785">
        <v>-20560.919999999998</v>
      </c>
    </row>
    <row r="6786" spans="1:6" hidden="1" x14ac:dyDescent="0.25">
      <c r="A6786" t="s">
        <v>677</v>
      </c>
      <c r="B6786" t="s">
        <v>182</v>
      </c>
      <c r="E6786" s="3">
        <f>HYPERLINK("https://sao.dolgi.msk.ru/account/1404087055/", 1404087055)</f>
        <v>1404087055</v>
      </c>
      <c r="F6786">
        <v>-5382.49</v>
      </c>
    </row>
    <row r="6787" spans="1:6" hidden="1" x14ac:dyDescent="0.25">
      <c r="A6787" t="s">
        <v>677</v>
      </c>
      <c r="B6787" t="s">
        <v>183</v>
      </c>
      <c r="E6787" s="3">
        <f>HYPERLINK("https://sao.dolgi.msk.ru/account/1404089595/", 1404089595)</f>
        <v>1404089595</v>
      </c>
      <c r="F6787">
        <v>-6536.53</v>
      </c>
    </row>
    <row r="6788" spans="1:6" hidden="1" x14ac:dyDescent="0.25">
      <c r="A6788" t="s">
        <v>677</v>
      </c>
      <c r="B6788" t="s">
        <v>184</v>
      </c>
      <c r="E6788" s="3">
        <f>HYPERLINK("https://sao.dolgi.msk.ru/account/1404090828/", 1404090828)</f>
        <v>1404090828</v>
      </c>
      <c r="F6788">
        <v>-3000.18</v>
      </c>
    </row>
    <row r="6789" spans="1:6" x14ac:dyDescent="0.25">
      <c r="A6789" t="s">
        <v>677</v>
      </c>
      <c r="B6789" t="s">
        <v>185</v>
      </c>
      <c r="C6789" s="5" t="str">
        <f>" кв. "&amp;B6789</f>
        <v xml:space="preserve"> кв. 181</v>
      </c>
      <c r="D6789" s="5" t="str">
        <f>CONCATENATE(A6789,C6789)</f>
        <v>Ленинградское шоссе, дом 108 кв. 181</v>
      </c>
      <c r="E6789" s="3">
        <f>HYPERLINK("https://sao.dolgi.msk.ru/account/1404086263/", 1404086263)</f>
        <v>1404086263</v>
      </c>
      <c r="F6789">
        <v>7132.9</v>
      </c>
    </row>
    <row r="6790" spans="1:6" hidden="1" x14ac:dyDescent="0.25">
      <c r="A6790" t="s">
        <v>677</v>
      </c>
      <c r="B6790" t="s">
        <v>186</v>
      </c>
      <c r="E6790" s="3">
        <f>HYPERLINK("https://sao.dolgi.msk.ru/account/1404085957/", 1404085957)</f>
        <v>1404085957</v>
      </c>
      <c r="F6790">
        <v>-4020.39</v>
      </c>
    </row>
    <row r="6791" spans="1:6" hidden="1" x14ac:dyDescent="0.25">
      <c r="A6791" t="s">
        <v>677</v>
      </c>
      <c r="B6791" t="s">
        <v>187</v>
      </c>
      <c r="E6791" s="3">
        <f>HYPERLINK("https://sao.dolgi.msk.ru/account/1404084372/", 1404084372)</f>
        <v>1404084372</v>
      </c>
      <c r="F6791">
        <v>0</v>
      </c>
    </row>
    <row r="6792" spans="1:6" hidden="1" x14ac:dyDescent="0.25">
      <c r="A6792" t="s">
        <v>677</v>
      </c>
      <c r="B6792" t="s">
        <v>188</v>
      </c>
      <c r="E6792" s="3">
        <f>HYPERLINK("https://sao.dolgi.msk.ru/account/1404089149/", 1404089149)</f>
        <v>1404089149</v>
      </c>
      <c r="F6792">
        <v>-4085.79</v>
      </c>
    </row>
    <row r="6793" spans="1:6" hidden="1" x14ac:dyDescent="0.25">
      <c r="A6793" t="s">
        <v>677</v>
      </c>
      <c r="B6793" t="s">
        <v>189</v>
      </c>
      <c r="E6793" s="3">
        <f>HYPERLINK("https://sao.dolgi.msk.ru/account/1404083361/", 1404083361)</f>
        <v>1404083361</v>
      </c>
      <c r="F6793">
        <v>-8798.51</v>
      </c>
    </row>
    <row r="6794" spans="1:6" hidden="1" x14ac:dyDescent="0.25">
      <c r="A6794" t="s">
        <v>677</v>
      </c>
      <c r="B6794" t="s">
        <v>190</v>
      </c>
      <c r="E6794" s="3">
        <f>HYPERLINK("https://sao.dolgi.msk.ru/account/1404085009/", 1404085009)</f>
        <v>1404085009</v>
      </c>
      <c r="F6794">
        <v>-27792.14</v>
      </c>
    </row>
    <row r="6795" spans="1:6" hidden="1" x14ac:dyDescent="0.25">
      <c r="A6795" t="s">
        <v>677</v>
      </c>
      <c r="B6795" t="s">
        <v>191</v>
      </c>
      <c r="E6795" s="3">
        <f>HYPERLINK("https://sao.dolgi.msk.ru/account/1404083986/", 1404083986)</f>
        <v>1404083986</v>
      </c>
      <c r="F6795">
        <v>-3445.05</v>
      </c>
    </row>
    <row r="6796" spans="1:6" x14ac:dyDescent="0.25">
      <c r="A6796" t="s">
        <v>677</v>
      </c>
      <c r="B6796" t="s">
        <v>192</v>
      </c>
      <c r="C6796" s="5" t="str">
        <f>" кв. "&amp;B6796</f>
        <v xml:space="preserve"> кв. 188</v>
      </c>
      <c r="D6796" s="5" t="str">
        <f>CONCATENATE(A6796,C6796)</f>
        <v>Ленинградское шоссе, дом 108 кв. 188</v>
      </c>
      <c r="E6796" s="3">
        <f>HYPERLINK("https://sao.dolgi.msk.ru/account/1404100117/", 1404100117)</f>
        <v>1404100117</v>
      </c>
      <c r="F6796">
        <v>91460.47</v>
      </c>
    </row>
    <row r="6797" spans="1:6" hidden="1" x14ac:dyDescent="0.25">
      <c r="A6797" t="s">
        <v>677</v>
      </c>
      <c r="B6797" t="s">
        <v>193</v>
      </c>
      <c r="E6797" s="3">
        <f>HYPERLINK("https://sao.dolgi.msk.ru/account/1404085068/", 1404085068)</f>
        <v>1404085068</v>
      </c>
      <c r="F6797">
        <v>-2978.39</v>
      </c>
    </row>
    <row r="6798" spans="1:6" hidden="1" x14ac:dyDescent="0.25">
      <c r="A6798" t="s">
        <v>677</v>
      </c>
      <c r="B6798" t="s">
        <v>194</v>
      </c>
      <c r="E6798" s="3">
        <f>HYPERLINK("https://sao.dolgi.msk.ru/account/1404084161/", 1404084161)</f>
        <v>1404084161</v>
      </c>
      <c r="F6798">
        <v>-3907.2</v>
      </c>
    </row>
    <row r="6799" spans="1:6" hidden="1" x14ac:dyDescent="0.25">
      <c r="A6799" t="s">
        <v>677</v>
      </c>
      <c r="B6799" t="s">
        <v>195</v>
      </c>
      <c r="E6799" s="3">
        <f>HYPERLINK("https://sao.dolgi.msk.ru/account/1404088146/", 1404088146)</f>
        <v>1404088146</v>
      </c>
      <c r="F6799">
        <v>-5230.74</v>
      </c>
    </row>
    <row r="6800" spans="1:6" hidden="1" x14ac:dyDescent="0.25">
      <c r="A6800" t="s">
        <v>677</v>
      </c>
      <c r="B6800" t="s">
        <v>196</v>
      </c>
      <c r="E6800" s="3">
        <f>HYPERLINK("https://sao.dolgi.msk.ru/account/1404090588/", 1404090588)</f>
        <v>1404090588</v>
      </c>
      <c r="F6800">
        <v>0</v>
      </c>
    </row>
    <row r="6801" spans="1:6" hidden="1" x14ac:dyDescent="0.25">
      <c r="A6801" t="s">
        <v>677</v>
      </c>
      <c r="B6801" t="s">
        <v>197</v>
      </c>
      <c r="E6801" s="3">
        <f>HYPERLINK("https://sao.dolgi.msk.ru/account/1404082983/", 1404082983)</f>
        <v>1404082983</v>
      </c>
      <c r="F6801">
        <v>-3840.82</v>
      </c>
    </row>
    <row r="6802" spans="1:6" hidden="1" x14ac:dyDescent="0.25">
      <c r="A6802" t="s">
        <v>677</v>
      </c>
      <c r="B6802" t="s">
        <v>198</v>
      </c>
      <c r="E6802" s="3">
        <f>HYPERLINK("https://sao.dolgi.msk.ru/account/1404090553/", 1404090553)</f>
        <v>1404090553</v>
      </c>
      <c r="F6802">
        <v>-4911.79</v>
      </c>
    </row>
    <row r="6803" spans="1:6" x14ac:dyDescent="0.25">
      <c r="A6803" t="s">
        <v>677</v>
      </c>
      <c r="B6803" t="s">
        <v>199</v>
      </c>
      <c r="C6803" s="5" t="str">
        <f>" кв. "&amp;B6803</f>
        <v xml:space="preserve"> кв. 195</v>
      </c>
      <c r="D6803" s="5" t="str">
        <f>CONCATENATE(A6803,C6803)</f>
        <v>Ленинградское шоссе, дом 108 кв. 195</v>
      </c>
      <c r="E6803" s="3">
        <f>HYPERLINK("https://sao.dolgi.msk.ru/account/1404086597/", 1404086597)</f>
        <v>1404086597</v>
      </c>
      <c r="F6803">
        <v>85773.34</v>
      </c>
    </row>
    <row r="6804" spans="1:6" hidden="1" x14ac:dyDescent="0.25">
      <c r="A6804" t="s">
        <v>677</v>
      </c>
      <c r="B6804" t="s">
        <v>200</v>
      </c>
      <c r="E6804" s="3">
        <f>HYPERLINK("https://sao.dolgi.msk.ru/account/1404085981/", 1404085981)</f>
        <v>1404085981</v>
      </c>
      <c r="F6804">
        <v>-4441.26</v>
      </c>
    </row>
    <row r="6805" spans="1:6" hidden="1" x14ac:dyDescent="0.25">
      <c r="A6805" t="s">
        <v>677</v>
      </c>
      <c r="B6805" t="s">
        <v>201</v>
      </c>
      <c r="E6805" s="3">
        <f>HYPERLINK("https://sao.dolgi.msk.ru/account/1404153921/", 1404153921)</f>
        <v>1404153921</v>
      </c>
      <c r="F6805">
        <v>-5210.0600000000004</v>
      </c>
    </row>
    <row r="6806" spans="1:6" hidden="1" x14ac:dyDescent="0.25">
      <c r="A6806" t="s">
        <v>677</v>
      </c>
      <c r="B6806" t="s">
        <v>202</v>
      </c>
      <c r="E6806" s="3">
        <f>HYPERLINK("https://sao.dolgi.msk.ru/account/1404089317/", 1404089317)</f>
        <v>1404089317</v>
      </c>
      <c r="F6806">
        <v>-3935.14</v>
      </c>
    </row>
    <row r="6807" spans="1:6" x14ac:dyDescent="0.25">
      <c r="A6807" t="s">
        <v>677</v>
      </c>
      <c r="B6807" t="s">
        <v>203</v>
      </c>
      <c r="C6807" s="5" t="str">
        <f t="shared" ref="C6807:C6809" si="271">" кв. "&amp;B6807</f>
        <v xml:space="preserve"> кв. 199</v>
      </c>
      <c r="D6807" s="5" t="str">
        <f>CONCATENATE(A6807,C6807)</f>
        <v>Ленинградское шоссе, дом 108 кв. 199</v>
      </c>
      <c r="E6807" s="3">
        <f>HYPERLINK("https://sao.dolgi.msk.ru/account/1404090481/", 1404090481)</f>
        <v>1404090481</v>
      </c>
      <c r="F6807">
        <v>52477.78</v>
      </c>
    </row>
    <row r="6808" spans="1:6" x14ac:dyDescent="0.25">
      <c r="A6808" t="s">
        <v>677</v>
      </c>
      <c r="B6808" t="s">
        <v>204</v>
      </c>
      <c r="C6808" s="5" t="str">
        <f t="shared" si="271"/>
        <v xml:space="preserve"> кв. 200</v>
      </c>
      <c r="D6808" s="5" t="str">
        <f>CONCATENATE(A6808,C6808)</f>
        <v>Ленинградское шоссе, дом 108 кв. 200</v>
      </c>
      <c r="E6808" s="3">
        <f>HYPERLINK("https://sao.dolgi.msk.ru/account/1404088445/", 1404088445)</f>
        <v>1404088445</v>
      </c>
      <c r="F6808">
        <v>234052.54</v>
      </c>
    </row>
    <row r="6809" spans="1:6" x14ac:dyDescent="0.25">
      <c r="A6809" t="s">
        <v>677</v>
      </c>
      <c r="B6809" t="s">
        <v>205</v>
      </c>
      <c r="C6809" s="5" t="str">
        <f t="shared" si="271"/>
        <v xml:space="preserve"> кв. 201</v>
      </c>
      <c r="D6809" s="5" t="str">
        <f>CONCATENATE(A6809,C6809)</f>
        <v>Ленинградское шоссе, дом 108 кв. 201</v>
      </c>
      <c r="E6809" s="3">
        <f>HYPERLINK("https://sao.dolgi.msk.ru/account/1404083206/", 1404083206)</f>
        <v>1404083206</v>
      </c>
      <c r="F6809">
        <v>7449.56</v>
      </c>
    </row>
    <row r="6810" spans="1:6" hidden="1" x14ac:dyDescent="0.25">
      <c r="A6810" t="s">
        <v>677</v>
      </c>
      <c r="B6810" t="s">
        <v>206</v>
      </c>
      <c r="E6810" s="3">
        <f>HYPERLINK("https://sao.dolgi.msk.ru/account/1404090502/", 1404090502)</f>
        <v>1404090502</v>
      </c>
      <c r="F6810">
        <v>-4226.53</v>
      </c>
    </row>
    <row r="6811" spans="1:6" hidden="1" x14ac:dyDescent="0.25">
      <c r="A6811" t="s">
        <v>677</v>
      </c>
      <c r="B6811" t="s">
        <v>207</v>
      </c>
      <c r="E6811" s="3">
        <f>HYPERLINK("https://sao.dolgi.msk.ru/account/1404085359/", 1404085359)</f>
        <v>1404085359</v>
      </c>
      <c r="F6811">
        <v>-4528.99</v>
      </c>
    </row>
    <row r="6812" spans="1:6" hidden="1" x14ac:dyDescent="0.25">
      <c r="A6812" t="s">
        <v>677</v>
      </c>
      <c r="B6812" t="s">
        <v>208</v>
      </c>
      <c r="E6812" s="3">
        <f>HYPERLINK("https://sao.dolgi.msk.ru/account/1404082756/", 1404082756)</f>
        <v>1404082756</v>
      </c>
      <c r="F6812">
        <v>-2887.66</v>
      </c>
    </row>
    <row r="6813" spans="1:6" hidden="1" x14ac:dyDescent="0.25">
      <c r="A6813" t="s">
        <v>677</v>
      </c>
      <c r="B6813" t="s">
        <v>209</v>
      </c>
      <c r="E6813" s="3">
        <f>HYPERLINK("https://sao.dolgi.msk.ru/account/1404089755/", 1404089755)</f>
        <v>1404089755</v>
      </c>
      <c r="F6813">
        <v>-1638.42</v>
      </c>
    </row>
    <row r="6814" spans="1:6" hidden="1" x14ac:dyDescent="0.25">
      <c r="A6814" t="s">
        <v>677</v>
      </c>
      <c r="B6814" t="s">
        <v>210</v>
      </c>
      <c r="E6814" s="3">
        <f>HYPERLINK("https://sao.dolgi.msk.ru/account/1404082676/", 1404082676)</f>
        <v>1404082676</v>
      </c>
      <c r="F6814">
        <v>-6215.07</v>
      </c>
    </row>
    <row r="6815" spans="1:6" hidden="1" x14ac:dyDescent="0.25">
      <c r="A6815" t="s">
        <v>677</v>
      </c>
      <c r="B6815" t="s">
        <v>211</v>
      </c>
      <c r="E6815" s="3">
        <f>HYPERLINK("https://sao.dolgi.msk.ru/account/1404086757/", 1404086757)</f>
        <v>1404086757</v>
      </c>
      <c r="F6815">
        <v>-7801.61</v>
      </c>
    </row>
    <row r="6816" spans="1:6" x14ac:dyDescent="0.25">
      <c r="A6816" t="s">
        <v>677</v>
      </c>
      <c r="B6816" t="s">
        <v>212</v>
      </c>
      <c r="C6816" s="5" t="str">
        <f>" кв. "&amp;B6816</f>
        <v xml:space="preserve"> кв. 208</v>
      </c>
      <c r="D6816" s="5" t="str">
        <f>CONCATENATE(A6816,C6816)</f>
        <v>Ленинградское шоссе, дом 108 кв. 208</v>
      </c>
      <c r="E6816" s="3">
        <f>HYPERLINK("https://sao.dolgi.msk.ru/account/1404083783/", 1404083783)</f>
        <v>1404083783</v>
      </c>
      <c r="F6816">
        <v>41079.01</v>
      </c>
    </row>
    <row r="6817" spans="1:6" hidden="1" x14ac:dyDescent="0.25">
      <c r="A6817" t="s">
        <v>677</v>
      </c>
      <c r="B6817" t="s">
        <v>213</v>
      </c>
      <c r="E6817" s="3">
        <f>HYPERLINK("https://sao.dolgi.msk.ru/account/1404083222/", 1404083222)</f>
        <v>1404083222</v>
      </c>
      <c r="F6817">
        <v>-598.98</v>
      </c>
    </row>
    <row r="6818" spans="1:6" hidden="1" x14ac:dyDescent="0.25">
      <c r="A6818" t="s">
        <v>677</v>
      </c>
      <c r="B6818" t="s">
        <v>214</v>
      </c>
      <c r="E6818" s="3">
        <f>HYPERLINK("https://sao.dolgi.msk.ru/account/1404086714/", 1404086714)</f>
        <v>1404086714</v>
      </c>
      <c r="F6818">
        <v>0</v>
      </c>
    </row>
    <row r="6819" spans="1:6" hidden="1" x14ac:dyDescent="0.25">
      <c r="A6819" t="s">
        <v>677</v>
      </c>
      <c r="B6819" t="s">
        <v>215</v>
      </c>
      <c r="E6819" s="3">
        <f>HYPERLINK("https://sao.dolgi.msk.ru/account/1404087987/", 1404087987)</f>
        <v>1404087987</v>
      </c>
      <c r="F6819">
        <v>-4765.8100000000004</v>
      </c>
    </row>
    <row r="6820" spans="1:6" hidden="1" x14ac:dyDescent="0.25">
      <c r="A6820" t="s">
        <v>677</v>
      </c>
      <c r="B6820" t="s">
        <v>216</v>
      </c>
      <c r="E6820" s="3">
        <f>HYPERLINK("https://sao.dolgi.msk.ru/account/1404083564/", 1404083564)</f>
        <v>1404083564</v>
      </c>
      <c r="F6820">
        <v>0</v>
      </c>
    </row>
    <row r="6821" spans="1:6" x14ac:dyDescent="0.25">
      <c r="A6821" t="s">
        <v>677</v>
      </c>
      <c r="B6821" t="s">
        <v>217</v>
      </c>
      <c r="C6821" s="5" t="str">
        <f>" кв. "&amp;B6821</f>
        <v xml:space="preserve"> кв. 213</v>
      </c>
      <c r="D6821" s="5" t="str">
        <f>CONCATENATE(A6821,C6821)</f>
        <v>Ленинградское шоссе, дом 108 кв. 213</v>
      </c>
      <c r="E6821" s="3">
        <f>HYPERLINK("https://sao.dolgi.msk.ru/account/1404089253/", 1404089253)</f>
        <v>1404089253</v>
      </c>
      <c r="F6821">
        <v>84534.48</v>
      </c>
    </row>
    <row r="6822" spans="1:6" hidden="1" x14ac:dyDescent="0.25">
      <c r="A6822" t="s">
        <v>677</v>
      </c>
      <c r="B6822" t="s">
        <v>218</v>
      </c>
      <c r="E6822" s="3">
        <f>HYPERLINK("https://sao.dolgi.msk.ru/account/1404082537/", 1404082537)</f>
        <v>1404082537</v>
      </c>
      <c r="F6822">
        <v>-4618.8</v>
      </c>
    </row>
    <row r="6823" spans="1:6" hidden="1" x14ac:dyDescent="0.25">
      <c r="A6823" t="s">
        <v>677</v>
      </c>
      <c r="B6823" t="s">
        <v>219</v>
      </c>
      <c r="E6823" s="3">
        <f>HYPERLINK("https://sao.dolgi.msk.ru/account/1404085033/", 1404085033)</f>
        <v>1404085033</v>
      </c>
      <c r="F6823">
        <v>-6701.38</v>
      </c>
    </row>
    <row r="6824" spans="1:6" hidden="1" x14ac:dyDescent="0.25">
      <c r="A6824" t="s">
        <v>677</v>
      </c>
      <c r="B6824" t="s">
        <v>220</v>
      </c>
      <c r="E6824" s="3">
        <f>HYPERLINK("https://sao.dolgi.msk.ru/account/1404085295/", 1404085295)</f>
        <v>1404085295</v>
      </c>
      <c r="F6824">
        <v>-4038.74</v>
      </c>
    </row>
    <row r="6825" spans="1:6" hidden="1" x14ac:dyDescent="0.25">
      <c r="A6825" t="s">
        <v>677</v>
      </c>
      <c r="B6825" t="s">
        <v>221</v>
      </c>
      <c r="E6825" s="3">
        <f>HYPERLINK("https://sao.dolgi.msk.ru/account/1404083011/", 1404083011)</f>
        <v>1404083011</v>
      </c>
      <c r="F6825">
        <v>-11476.57</v>
      </c>
    </row>
    <row r="6826" spans="1:6" hidden="1" x14ac:dyDescent="0.25">
      <c r="A6826" t="s">
        <v>677</v>
      </c>
      <c r="B6826" t="s">
        <v>222</v>
      </c>
      <c r="E6826" s="3">
        <f>HYPERLINK("https://sao.dolgi.msk.ru/account/1404089982/", 1404089982)</f>
        <v>1404089982</v>
      </c>
      <c r="F6826">
        <v>-6610.83</v>
      </c>
    </row>
    <row r="6827" spans="1:6" x14ac:dyDescent="0.25">
      <c r="A6827" t="s">
        <v>677</v>
      </c>
      <c r="B6827" t="s">
        <v>223</v>
      </c>
      <c r="C6827" s="5" t="str">
        <f>" кв. "&amp;B6827</f>
        <v xml:space="preserve"> кв. 219</v>
      </c>
      <c r="D6827" s="5" t="str">
        <f>CONCATENATE(A6827,C6827)</f>
        <v>Ленинградское шоссе, дом 108 кв. 219</v>
      </c>
      <c r="E6827" s="3">
        <f>HYPERLINK("https://sao.dolgi.msk.ru/account/1404086722/", 1404086722)</f>
        <v>1404086722</v>
      </c>
      <c r="F6827">
        <v>7479.6</v>
      </c>
    </row>
    <row r="6828" spans="1:6" hidden="1" x14ac:dyDescent="0.25">
      <c r="A6828" t="s">
        <v>677</v>
      </c>
      <c r="B6828" t="s">
        <v>224</v>
      </c>
      <c r="E6828" s="3">
        <f>HYPERLINK("https://sao.dolgi.msk.ru/account/1404083652/", 1404083652)</f>
        <v>1404083652</v>
      </c>
      <c r="F6828">
        <v>-4820.28</v>
      </c>
    </row>
    <row r="6829" spans="1:6" hidden="1" x14ac:dyDescent="0.25">
      <c r="A6829" t="s">
        <v>677</v>
      </c>
      <c r="B6829" t="s">
        <v>225</v>
      </c>
      <c r="E6829" s="3">
        <f>HYPERLINK("https://sao.dolgi.msk.ru/account/1404088736/", 1404088736)</f>
        <v>1404088736</v>
      </c>
      <c r="F6829">
        <v>-4976.01</v>
      </c>
    </row>
    <row r="6830" spans="1:6" hidden="1" x14ac:dyDescent="0.25">
      <c r="A6830" t="s">
        <v>677</v>
      </c>
      <c r="B6830" t="s">
        <v>226</v>
      </c>
      <c r="E6830" s="3">
        <f>HYPERLINK("https://sao.dolgi.msk.ru/account/1404086909/", 1404086909)</f>
        <v>1404086909</v>
      </c>
      <c r="F6830">
        <v>-731.35</v>
      </c>
    </row>
    <row r="6831" spans="1:6" hidden="1" x14ac:dyDescent="0.25">
      <c r="A6831" t="s">
        <v>677</v>
      </c>
      <c r="B6831" t="s">
        <v>227</v>
      </c>
      <c r="E6831" s="3">
        <f>HYPERLINK("https://sao.dolgi.msk.ru/account/1404082473/", 1404082473)</f>
        <v>1404082473</v>
      </c>
      <c r="F6831">
        <v>-9385.5499999999993</v>
      </c>
    </row>
    <row r="6832" spans="1:6" hidden="1" x14ac:dyDescent="0.25">
      <c r="A6832" t="s">
        <v>677</v>
      </c>
      <c r="B6832" t="s">
        <v>228</v>
      </c>
      <c r="E6832" s="3">
        <f>HYPERLINK("https://sao.dolgi.msk.ru/account/1404083759/", 1404083759)</f>
        <v>1404083759</v>
      </c>
      <c r="F6832">
        <v>-2724.99</v>
      </c>
    </row>
    <row r="6833" spans="1:6" hidden="1" x14ac:dyDescent="0.25">
      <c r="A6833" t="s">
        <v>677</v>
      </c>
      <c r="B6833" t="s">
        <v>229</v>
      </c>
      <c r="E6833" s="3">
        <f>HYPERLINK("https://sao.dolgi.msk.ru/account/1404139951/", 1404139951)</f>
        <v>1404139951</v>
      </c>
      <c r="F6833">
        <v>-5464.66</v>
      </c>
    </row>
    <row r="6834" spans="1:6" x14ac:dyDescent="0.25">
      <c r="A6834" t="s">
        <v>677</v>
      </c>
      <c r="B6834" t="s">
        <v>230</v>
      </c>
      <c r="C6834" s="5" t="str">
        <f>" кв. "&amp;B6834</f>
        <v xml:space="preserve"> кв. 226</v>
      </c>
      <c r="D6834" s="5" t="str">
        <f>CONCATENATE(A6834,C6834)</f>
        <v>Ленинградское шоссе, дом 108 кв. 226</v>
      </c>
      <c r="E6834" s="3">
        <f>HYPERLINK("https://sao.dolgi.msk.ru/account/1404100168/", 1404100168)</f>
        <v>1404100168</v>
      </c>
      <c r="F6834">
        <v>4130.78</v>
      </c>
    </row>
    <row r="6835" spans="1:6" hidden="1" x14ac:dyDescent="0.25">
      <c r="A6835" t="s">
        <v>677</v>
      </c>
      <c r="B6835" t="s">
        <v>231</v>
      </c>
      <c r="E6835" s="3">
        <f>HYPERLINK("https://sao.dolgi.msk.ru/account/1404100184/", 1404100184)</f>
        <v>1404100184</v>
      </c>
      <c r="F6835">
        <v>0</v>
      </c>
    </row>
    <row r="6836" spans="1:6" hidden="1" x14ac:dyDescent="0.25">
      <c r="A6836" t="s">
        <v>677</v>
      </c>
      <c r="B6836" t="s">
        <v>231</v>
      </c>
      <c r="E6836" s="3">
        <f>HYPERLINK("https://sao.dolgi.msk.ru/account/1404139847/", 1404139847)</f>
        <v>1404139847</v>
      </c>
      <c r="F6836">
        <v>-321.27</v>
      </c>
    </row>
    <row r="6837" spans="1:6" x14ac:dyDescent="0.25">
      <c r="A6837" t="s">
        <v>677</v>
      </c>
      <c r="B6837" t="s">
        <v>232</v>
      </c>
      <c r="C6837" s="5" t="str">
        <f>" кв. "&amp;B6837</f>
        <v xml:space="preserve"> кв. 228</v>
      </c>
      <c r="D6837" s="5" t="str">
        <f>CONCATENATE(A6837,C6837)</f>
        <v>Ленинградское шоссе, дом 108 кв. 228</v>
      </c>
      <c r="E6837" s="3">
        <f>HYPERLINK("https://sao.dolgi.msk.ru/account/1404100192/", 1404100192)</f>
        <v>1404100192</v>
      </c>
      <c r="F6837">
        <v>3604.82</v>
      </c>
    </row>
    <row r="6838" spans="1:6" hidden="1" x14ac:dyDescent="0.25">
      <c r="A6838" t="s">
        <v>677</v>
      </c>
      <c r="B6838" t="s">
        <v>233</v>
      </c>
      <c r="E6838" s="3">
        <f>HYPERLINK("https://sao.dolgi.msk.ru/account/1404095151/", 1404095151)</f>
        <v>1404095151</v>
      </c>
      <c r="F6838">
        <v>0</v>
      </c>
    </row>
    <row r="6839" spans="1:6" x14ac:dyDescent="0.25">
      <c r="A6839" t="s">
        <v>677</v>
      </c>
      <c r="B6839" t="s">
        <v>234</v>
      </c>
      <c r="C6839" s="5" t="str">
        <f>" кв. "&amp;B6839</f>
        <v xml:space="preserve"> кв. 230</v>
      </c>
      <c r="D6839" s="5" t="str">
        <f>CONCATENATE(A6839,C6839)</f>
        <v>Ленинградское шоссе, дом 108 кв. 230</v>
      </c>
      <c r="E6839" s="3">
        <f>HYPERLINK("https://sao.dolgi.msk.ru/account/1404100213/", 1404100213)</f>
        <v>1404100213</v>
      </c>
      <c r="F6839">
        <v>3986.9</v>
      </c>
    </row>
    <row r="6840" spans="1:6" hidden="1" x14ac:dyDescent="0.25">
      <c r="A6840" t="s">
        <v>677</v>
      </c>
      <c r="B6840" t="s">
        <v>235</v>
      </c>
      <c r="E6840" s="3">
        <f>HYPERLINK("https://sao.dolgi.msk.ru/account/1404100248/", 1404100248)</f>
        <v>1404100248</v>
      </c>
      <c r="F6840">
        <v>0</v>
      </c>
    </row>
    <row r="6841" spans="1:6" hidden="1" x14ac:dyDescent="0.25">
      <c r="A6841" t="s">
        <v>677</v>
      </c>
      <c r="B6841" t="s">
        <v>235</v>
      </c>
      <c r="E6841" s="3">
        <f>HYPERLINK("https://sao.dolgi.msk.ru/account/1404139724/", 1404139724)</f>
        <v>1404139724</v>
      </c>
      <c r="F6841">
        <v>-1748.61</v>
      </c>
    </row>
    <row r="6842" spans="1:6" hidden="1" x14ac:dyDescent="0.25">
      <c r="A6842" t="s">
        <v>677</v>
      </c>
      <c r="B6842" t="s">
        <v>235</v>
      </c>
      <c r="E6842" s="3">
        <f>HYPERLINK("https://sao.dolgi.msk.ru/account/1404153956/", 1404153956)</f>
        <v>1404153956</v>
      </c>
      <c r="F6842">
        <v>-4534.05</v>
      </c>
    </row>
    <row r="6843" spans="1:6" hidden="1" x14ac:dyDescent="0.25">
      <c r="A6843" t="s">
        <v>677</v>
      </c>
      <c r="B6843" t="s">
        <v>239</v>
      </c>
      <c r="E6843" s="3">
        <f>HYPERLINK("https://sao.dolgi.msk.ru/account/1404084313/", 1404084313)</f>
        <v>1404084313</v>
      </c>
      <c r="F6843">
        <v>-3164.5</v>
      </c>
    </row>
    <row r="6844" spans="1:6" hidden="1" x14ac:dyDescent="0.25">
      <c r="A6844" t="s">
        <v>677</v>
      </c>
      <c r="B6844" t="s">
        <v>240</v>
      </c>
      <c r="E6844" s="3">
        <f>HYPERLINK("https://sao.dolgi.msk.ru/account/1404086888/", 1404086888)</f>
        <v>1404086888</v>
      </c>
      <c r="F6844">
        <v>-5813.26</v>
      </c>
    </row>
    <row r="6845" spans="1:6" hidden="1" x14ac:dyDescent="0.25">
      <c r="A6845" t="s">
        <v>677</v>
      </c>
      <c r="B6845" t="s">
        <v>241</v>
      </c>
      <c r="E6845" s="3">
        <f>HYPERLINK("https://sao.dolgi.msk.ru/account/1404082705/", 1404082705)</f>
        <v>1404082705</v>
      </c>
      <c r="F6845">
        <v>-2563.1799999999998</v>
      </c>
    </row>
    <row r="6846" spans="1:6" hidden="1" x14ac:dyDescent="0.25">
      <c r="A6846" t="s">
        <v>677</v>
      </c>
      <c r="B6846" t="s">
        <v>242</v>
      </c>
      <c r="E6846" s="3">
        <f>HYPERLINK("https://sao.dolgi.msk.ru/account/1404087899/", 1404087899)</f>
        <v>1404087899</v>
      </c>
      <c r="F6846">
        <v>0</v>
      </c>
    </row>
    <row r="6847" spans="1:6" hidden="1" x14ac:dyDescent="0.25">
      <c r="A6847" t="s">
        <v>677</v>
      </c>
      <c r="B6847" t="s">
        <v>243</v>
      </c>
      <c r="E6847" s="3">
        <f>HYPERLINK("https://sao.dolgi.msk.ru/account/1404089966/", 1404089966)</f>
        <v>1404089966</v>
      </c>
      <c r="F6847">
        <v>-4175.18</v>
      </c>
    </row>
    <row r="6848" spans="1:6" x14ac:dyDescent="0.25">
      <c r="A6848" t="s">
        <v>677</v>
      </c>
      <c r="B6848" t="s">
        <v>244</v>
      </c>
      <c r="C6848" s="5" t="str">
        <f t="shared" ref="C6848:C6849" si="272">" кв. "&amp;B6848</f>
        <v xml:space="preserve"> кв. 237</v>
      </c>
      <c r="D6848" s="5" t="str">
        <f>CONCATENATE(A6848,C6848)</f>
        <v>Ленинградское шоссе, дом 108 кв. 237</v>
      </c>
      <c r="E6848" s="3">
        <f>HYPERLINK("https://sao.dolgi.msk.ru/account/1404100264/", 1404100264)</f>
        <v>1404100264</v>
      </c>
      <c r="F6848">
        <v>3874.22</v>
      </c>
    </row>
    <row r="6849" spans="1:6" x14ac:dyDescent="0.25">
      <c r="A6849" t="s">
        <v>677</v>
      </c>
      <c r="B6849" t="s">
        <v>245</v>
      </c>
      <c r="C6849" s="5" t="str">
        <f t="shared" si="272"/>
        <v xml:space="preserve"> кв. 238</v>
      </c>
      <c r="D6849" s="5" t="str">
        <f>CONCATENATE(A6849,C6849)</f>
        <v>Ленинградское шоссе, дом 108 кв. 238</v>
      </c>
      <c r="E6849" s="3">
        <f>HYPERLINK("https://sao.dolgi.msk.ru/account/1404100299/", 1404100299)</f>
        <v>1404100299</v>
      </c>
      <c r="F6849">
        <v>4688.72</v>
      </c>
    </row>
    <row r="6850" spans="1:6" hidden="1" x14ac:dyDescent="0.25">
      <c r="A6850" t="s">
        <v>677</v>
      </c>
      <c r="B6850" t="s">
        <v>246</v>
      </c>
      <c r="E6850" s="3">
        <f>HYPERLINK("https://sao.dolgi.msk.ru/account/1404089915/", 1404089915)</f>
        <v>1404089915</v>
      </c>
      <c r="F6850">
        <v>0</v>
      </c>
    </row>
    <row r="6851" spans="1:6" hidden="1" x14ac:dyDescent="0.25">
      <c r="A6851" t="s">
        <v>677</v>
      </c>
      <c r="B6851" t="s">
        <v>247</v>
      </c>
      <c r="E6851" s="3">
        <f>HYPERLINK("https://sao.dolgi.msk.ru/account/1404088568/", 1404088568)</f>
        <v>1404088568</v>
      </c>
      <c r="F6851">
        <v>-5530.13</v>
      </c>
    </row>
    <row r="6852" spans="1:6" hidden="1" x14ac:dyDescent="0.25">
      <c r="A6852" t="s">
        <v>677</v>
      </c>
      <c r="B6852" t="s">
        <v>248</v>
      </c>
      <c r="E6852" s="3">
        <f>HYPERLINK("https://sao.dolgi.msk.ru/account/1404084209/", 1404084209)</f>
        <v>1404084209</v>
      </c>
      <c r="F6852">
        <v>-3647.57</v>
      </c>
    </row>
    <row r="6853" spans="1:6" hidden="1" x14ac:dyDescent="0.25">
      <c r="A6853" t="s">
        <v>677</v>
      </c>
      <c r="B6853" t="s">
        <v>249</v>
      </c>
      <c r="E6853" s="3">
        <f>HYPERLINK("https://sao.dolgi.msk.ru/account/1404083441/", 1404083441)</f>
        <v>1404083441</v>
      </c>
      <c r="F6853">
        <v>-3235.42</v>
      </c>
    </row>
    <row r="6854" spans="1:6" hidden="1" x14ac:dyDescent="0.25">
      <c r="A6854" t="s">
        <v>677</v>
      </c>
      <c r="B6854" t="s">
        <v>250</v>
      </c>
      <c r="E6854" s="3">
        <f>HYPERLINK("https://sao.dolgi.msk.ru/account/1404088066/", 1404088066)</f>
        <v>1404088066</v>
      </c>
      <c r="F6854">
        <v>-3813.9</v>
      </c>
    </row>
    <row r="6855" spans="1:6" hidden="1" x14ac:dyDescent="0.25">
      <c r="A6855" t="s">
        <v>677</v>
      </c>
      <c r="B6855" t="s">
        <v>251</v>
      </c>
      <c r="E6855" s="3">
        <f>HYPERLINK("https://sao.dolgi.msk.ru/account/1404083484/", 1404083484)</f>
        <v>1404083484</v>
      </c>
      <c r="F6855">
        <v>-5886.77</v>
      </c>
    </row>
    <row r="6856" spans="1:6" x14ac:dyDescent="0.25">
      <c r="A6856" t="s">
        <v>677</v>
      </c>
      <c r="B6856" t="s">
        <v>252</v>
      </c>
      <c r="C6856" s="5" t="str">
        <f>" кв. "&amp;B6856</f>
        <v xml:space="preserve"> кв. 245</v>
      </c>
      <c r="D6856" s="5" t="str">
        <f>CONCATENATE(A6856,C6856)</f>
        <v>Ленинградское шоссе, дом 108 кв. 245</v>
      </c>
      <c r="E6856" s="3">
        <f>HYPERLINK("https://sao.dolgi.msk.ru/account/1404089202/", 1404089202)</f>
        <v>1404089202</v>
      </c>
      <c r="F6856">
        <v>28198.84</v>
      </c>
    </row>
    <row r="6857" spans="1:6" hidden="1" x14ac:dyDescent="0.25">
      <c r="A6857" t="s">
        <v>677</v>
      </c>
      <c r="B6857" t="s">
        <v>253</v>
      </c>
      <c r="E6857" s="3">
        <f>HYPERLINK("https://sao.dolgi.msk.ru/account/1404084225/", 1404084225)</f>
        <v>1404084225</v>
      </c>
      <c r="F6857">
        <v>-5796.64</v>
      </c>
    </row>
    <row r="6858" spans="1:6" hidden="1" x14ac:dyDescent="0.25">
      <c r="A6858" t="s">
        <v>677</v>
      </c>
      <c r="B6858" t="s">
        <v>254</v>
      </c>
      <c r="E6858" s="3">
        <f>HYPERLINK("https://sao.dolgi.msk.ru/account/1404087047/", 1404087047)</f>
        <v>1404087047</v>
      </c>
      <c r="F6858">
        <v>-4803.16</v>
      </c>
    </row>
    <row r="6859" spans="1:6" hidden="1" x14ac:dyDescent="0.25">
      <c r="A6859" t="s">
        <v>677</v>
      </c>
      <c r="B6859" t="s">
        <v>255</v>
      </c>
      <c r="E6859" s="3">
        <f>HYPERLINK("https://sao.dolgi.msk.ru/account/1404087776/", 1404087776)</f>
        <v>1404087776</v>
      </c>
      <c r="F6859">
        <v>-6037.06</v>
      </c>
    </row>
    <row r="6860" spans="1:6" hidden="1" x14ac:dyDescent="0.25">
      <c r="A6860" t="s">
        <v>677</v>
      </c>
      <c r="B6860" t="s">
        <v>256</v>
      </c>
      <c r="E6860" s="3">
        <f>HYPERLINK("https://sao.dolgi.msk.ru/account/1404083046/", 1404083046)</f>
        <v>1404083046</v>
      </c>
      <c r="F6860">
        <v>-3270.03</v>
      </c>
    </row>
    <row r="6861" spans="1:6" hidden="1" x14ac:dyDescent="0.25">
      <c r="A6861" t="s">
        <v>677</v>
      </c>
      <c r="B6861" t="s">
        <v>257</v>
      </c>
      <c r="E6861" s="3">
        <f>HYPERLINK("https://sao.dolgi.msk.ru/account/1404083281/", 1404083281)</f>
        <v>1404083281</v>
      </c>
      <c r="F6861">
        <v>-2326.6</v>
      </c>
    </row>
    <row r="6862" spans="1:6" x14ac:dyDescent="0.25">
      <c r="A6862" t="s">
        <v>677</v>
      </c>
      <c r="B6862" t="s">
        <v>258</v>
      </c>
      <c r="C6862" s="5" t="str">
        <f>" кв. "&amp;B6862</f>
        <v xml:space="preserve"> кв. 251</v>
      </c>
      <c r="D6862" s="5" t="str">
        <f>CONCATENATE(A6862,C6862)</f>
        <v>Ленинградское шоссе, дом 108 кв. 251</v>
      </c>
      <c r="E6862" s="3">
        <f>HYPERLINK("https://sao.dolgi.msk.ru/account/1404084428/", 1404084428)</f>
        <v>1404084428</v>
      </c>
      <c r="F6862">
        <v>4208.8500000000004</v>
      </c>
    </row>
    <row r="6863" spans="1:6" hidden="1" x14ac:dyDescent="0.25">
      <c r="A6863" t="s">
        <v>677</v>
      </c>
      <c r="B6863" t="s">
        <v>259</v>
      </c>
      <c r="E6863" s="3">
        <f>HYPERLINK("https://sao.dolgi.msk.ru/account/1404086837/", 1404086837)</f>
        <v>1404086837</v>
      </c>
      <c r="F6863">
        <v>-2508.44</v>
      </c>
    </row>
    <row r="6864" spans="1:6" hidden="1" x14ac:dyDescent="0.25">
      <c r="A6864" t="s">
        <v>677</v>
      </c>
      <c r="B6864" t="s">
        <v>260</v>
      </c>
      <c r="E6864" s="3">
        <f>HYPERLINK("https://sao.dolgi.msk.ru/account/1404090369/", 1404090369)</f>
        <v>1404090369</v>
      </c>
      <c r="F6864">
        <v>-980.34</v>
      </c>
    </row>
    <row r="6865" spans="1:6" hidden="1" x14ac:dyDescent="0.25">
      <c r="A6865" t="s">
        <v>677</v>
      </c>
      <c r="B6865" t="s">
        <v>261</v>
      </c>
      <c r="E6865" s="3">
        <f>HYPERLINK("https://sao.dolgi.msk.ru/account/1404082721/", 1404082721)</f>
        <v>1404082721</v>
      </c>
      <c r="F6865">
        <v>-3663.35</v>
      </c>
    </row>
    <row r="6866" spans="1:6" hidden="1" x14ac:dyDescent="0.25">
      <c r="A6866" t="s">
        <v>677</v>
      </c>
      <c r="B6866" t="s">
        <v>262</v>
      </c>
      <c r="E6866" s="3">
        <f>HYPERLINK("https://sao.dolgi.msk.ru/account/1404089886/", 1404089886)</f>
        <v>1404089886</v>
      </c>
      <c r="F6866">
        <v>0</v>
      </c>
    </row>
    <row r="6867" spans="1:6" hidden="1" x14ac:dyDescent="0.25">
      <c r="A6867" t="s">
        <v>677</v>
      </c>
      <c r="B6867" t="s">
        <v>263</v>
      </c>
      <c r="E6867" s="3">
        <f>HYPERLINK("https://sao.dolgi.msk.ru/account/1404084823/", 1404084823)</f>
        <v>1404084823</v>
      </c>
      <c r="F6867">
        <v>-3510.19</v>
      </c>
    </row>
    <row r="6868" spans="1:6" hidden="1" x14ac:dyDescent="0.25">
      <c r="A6868" t="s">
        <v>677</v>
      </c>
      <c r="B6868" t="s">
        <v>264</v>
      </c>
      <c r="E6868" s="3">
        <f>HYPERLINK("https://sao.dolgi.msk.ru/account/1404082801/", 1404082801)</f>
        <v>1404082801</v>
      </c>
      <c r="F6868">
        <v>-2977.58</v>
      </c>
    </row>
    <row r="6869" spans="1:6" hidden="1" x14ac:dyDescent="0.25">
      <c r="A6869" t="s">
        <v>677</v>
      </c>
      <c r="B6869" t="s">
        <v>265</v>
      </c>
      <c r="E6869" s="3">
        <f>HYPERLINK("https://sao.dolgi.msk.ru/account/1404083265/", 1404083265)</f>
        <v>1404083265</v>
      </c>
      <c r="F6869">
        <v>-1284.94</v>
      </c>
    </row>
    <row r="6870" spans="1:6" hidden="1" x14ac:dyDescent="0.25">
      <c r="A6870" t="s">
        <v>677</v>
      </c>
      <c r="B6870" t="s">
        <v>266</v>
      </c>
      <c r="E6870" s="3">
        <f>HYPERLINK("https://sao.dolgi.msk.ru/account/1404084364/", 1404084364)</f>
        <v>1404084364</v>
      </c>
      <c r="F6870">
        <v>0</v>
      </c>
    </row>
    <row r="6871" spans="1:6" hidden="1" x14ac:dyDescent="0.25">
      <c r="A6871" t="s">
        <v>677</v>
      </c>
      <c r="B6871" t="s">
        <v>267</v>
      </c>
      <c r="E6871" s="3">
        <f>HYPERLINK("https://sao.dolgi.msk.ru/account/1404082692/", 1404082692)</f>
        <v>1404082692</v>
      </c>
      <c r="F6871">
        <v>-298.39999999999998</v>
      </c>
    </row>
    <row r="6872" spans="1:6" hidden="1" x14ac:dyDescent="0.25">
      <c r="A6872" t="s">
        <v>677</v>
      </c>
      <c r="B6872" t="s">
        <v>268</v>
      </c>
      <c r="E6872" s="3">
        <f>HYPERLINK("https://sao.dolgi.msk.ru/account/1404089683/", 1404089683)</f>
        <v>1404089683</v>
      </c>
      <c r="F6872">
        <v>-5523.74</v>
      </c>
    </row>
    <row r="6873" spans="1:6" hidden="1" x14ac:dyDescent="0.25">
      <c r="A6873" t="s">
        <v>677</v>
      </c>
      <c r="B6873" t="s">
        <v>269</v>
      </c>
      <c r="E6873" s="3">
        <f>HYPERLINK("https://sao.dolgi.msk.ru/account/1404084188/", 1404084188)</f>
        <v>1404084188</v>
      </c>
      <c r="F6873">
        <v>-718.42</v>
      </c>
    </row>
    <row r="6874" spans="1:6" hidden="1" x14ac:dyDescent="0.25">
      <c r="A6874" t="s">
        <v>677</v>
      </c>
      <c r="B6874" t="s">
        <v>270</v>
      </c>
      <c r="E6874" s="3">
        <f>HYPERLINK("https://sao.dolgi.msk.ru/account/1404084014/", 1404084014)</f>
        <v>1404084014</v>
      </c>
      <c r="F6874">
        <v>-5834.95</v>
      </c>
    </row>
    <row r="6875" spans="1:6" hidden="1" x14ac:dyDescent="0.25">
      <c r="A6875" t="s">
        <v>677</v>
      </c>
      <c r="B6875" t="s">
        <v>271</v>
      </c>
      <c r="E6875" s="3">
        <f>HYPERLINK("https://sao.dolgi.msk.ru/account/1404083804/", 1404083804)</f>
        <v>1404083804</v>
      </c>
      <c r="F6875">
        <v>-2980.62</v>
      </c>
    </row>
    <row r="6876" spans="1:6" hidden="1" x14ac:dyDescent="0.25">
      <c r="A6876" t="s">
        <v>677</v>
      </c>
      <c r="B6876" t="s">
        <v>272</v>
      </c>
      <c r="E6876" s="3">
        <f>HYPERLINK("https://sao.dolgi.msk.ru/account/1404083812/", 1404083812)</f>
        <v>1404083812</v>
      </c>
      <c r="F6876">
        <v>-4589.24</v>
      </c>
    </row>
    <row r="6877" spans="1:6" hidden="1" x14ac:dyDescent="0.25">
      <c r="A6877" t="s">
        <v>677</v>
      </c>
      <c r="B6877" t="s">
        <v>273</v>
      </c>
      <c r="E6877" s="3">
        <f>HYPERLINK("https://sao.dolgi.msk.ru/account/1404084698/", 1404084698)</f>
        <v>1404084698</v>
      </c>
      <c r="F6877">
        <v>-8242.58</v>
      </c>
    </row>
    <row r="6878" spans="1:6" x14ac:dyDescent="0.25">
      <c r="A6878" t="s">
        <v>677</v>
      </c>
      <c r="B6878" t="s">
        <v>274</v>
      </c>
      <c r="C6878" s="5" t="str">
        <f>" кв. "&amp;B6878</f>
        <v xml:space="preserve"> кв. 267</v>
      </c>
      <c r="D6878" s="5" t="str">
        <f>CONCATENATE(A6878,C6878)</f>
        <v>Ленинградское шоссе, дом 108 кв. 267</v>
      </c>
      <c r="E6878" s="3">
        <f>HYPERLINK("https://sao.dolgi.msk.ru/account/1404089106/", 1404089106)</f>
        <v>1404089106</v>
      </c>
      <c r="F6878">
        <v>12158.64</v>
      </c>
    </row>
    <row r="6879" spans="1:6" hidden="1" x14ac:dyDescent="0.25">
      <c r="A6879" t="s">
        <v>677</v>
      </c>
      <c r="B6879" t="s">
        <v>275</v>
      </c>
      <c r="E6879" s="3">
        <f>HYPERLINK("https://sao.dolgi.msk.ru/account/1404084102/", 1404084102)</f>
        <v>1404084102</v>
      </c>
      <c r="F6879">
        <v>-313.66000000000003</v>
      </c>
    </row>
    <row r="6880" spans="1:6" hidden="1" x14ac:dyDescent="0.25">
      <c r="A6880" t="s">
        <v>677</v>
      </c>
      <c r="B6880" t="s">
        <v>276</v>
      </c>
      <c r="E6880" s="3">
        <f>HYPERLINK("https://sao.dolgi.msk.ru/account/1404084006/", 1404084006)</f>
        <v>1404084006</v>
      </c>
      <c r="F6880">
        <v>-11818.98</v>
      </c>
    </row>
    <row r="6881" spans="1:6" hidden="1" x14ac:dyDescent="0.25">
      <c r="A6881" t="s">
        <v>677</v>
      </c>
      <c r="B6881" t="s">
        <v>277</v>
      </c>
      <c r="E6881" s="3">
        <f>HYPERLINK("https://sao.dolgi.msk.ru/account/1404086044/", 1404086044)</f>
        <v>1404086044</v>
      </c>
      <c r="F6881">
        <v>-7820.74</v>
      </c>
    </row>
    <row r="6882" spans="1:6" hidden="1" x14ac:dyDescent="0.25">
      <c r="A6882" t="s">
        <v>677</v>
      </c>
      <c r="B6882" t="s">
        <v>278</v>
      </c>
      <c r="E6882" s="3">
        <f>HYPERLINK("https://sao.dolgi.msk.ru/account/1404083628/", 1404083628)</f>
        <v>1404083628</v>
      </c>
      <c r="F6882">
        <v>-13939.23</v>
      </c>
    </row>
    <row r="6883" spans="1:6" hidden="1" x14ac:dyDescent="0.25">
      <c r="A6883" t="s">
        <v>677</v>
      </c>
      <c r="B6883" t="s">
        <v>279</v>
      </c>
      <c r="E6883" s="3">
        <f>HYPERLINK("https://sao.dolgi.msk.ru/account/1404087063/", 1404087063)</f>
        <v>1404087063</v>
      </c>
      <c r="F6883">
        <v>-3429.3</v>
      </c>
    </row>
    <row r="6884" spans="1:6" x14ac:dyDescent="0.25">
      <c r="A6884" t="s">
        <v>677</v>
      </c>
      <c r="B6884" t="s">
        <v>280</v>
      </c>
      <c r="C6884" s="5" t="str">
        <f t="shared" ref="C6884:C6885" si="273">" кв. "&amp;B6884</f>
        <v xml:space="preserve"> кв. 273</v>
      </c>
      <c r="D6884" s="5" t="str">
        <f>CONCATENATE(A6884,C6884)</f>
        <v>Ленинградское шоссе, дом 108 кв. 273</v>
      </c>
      <c r="E6884" s="3">
        <f>HYPERLINK("https://sao.dolgi.msk.ru/account/1404082553/", 1404082553)</f>
        <v>1404082553</v>
      </c>
      <c r="F6884">
        <v>4603.71</v>
      </c>
    </row>
    <row r="6885" spans="1:6" x14ac:dyDescent="0.25">
      <c r="A6885" t="s">
        <v>677</v>
      </c>
      <c r="B6885" t="s">
        <v>281</v>
      </c>
      <c r="C6885" s="5" t="str">
        <f t="shared" si="273"/>
        <v xml:space="preserve"> кв. 274</v>
      </c>
      <c r="D6885" s="5" t="str">
        <f>CONCATENATE(A6885,C6885)</f>
        <v>Ленинградское шоссе, дом 108 кв. 274</v>
      </c>
      <c r="E6885" s="3">
        <f>HYPERLINK("https://sao.dolgi.msk.ru/account/1404090019/", 1404090019)</f>
        <v>1404090019</v>
      </c>
      <c r="F6885">
        <v>942.29</v>
      </c>
    </row>
    <row r="6886" spans="1:6" hidden="1" x14ac:dyDescent="0.25">
      <c r="A6886" t="s">
        <v>677</v>
      </c>
      <c r="B6886" t="s">
        <v>282</v>
      </c>
      <c r="E6886" s="3">
        <f>HYPERLINK("https://sao.dolgi.msk.ru/account/1404084348/", 1404084348)</f>
        <v>1404084348</v>
      </c>
      <c r="F6886">
        <v>-3099.9</v>
      </c>
    </row>
    <row r="6887" spans="1:6" hidden="1" x14ac:dyDescent="0.25">
      <c r="A6887" t="s">
        <v>677</v>
      </c>
      <c r="B6887" t="s">
        <v>283</v>
      </c>
      <c r="E6887" s="3">
        <f>HYPERLINK("https://sao.dolgi.msk.ru/account/1404083054/", 1404083054)</f>
        <v>1404083054</v>
      </c>
      <c r="F6887">
        <v>-3460.3</v>
      </c>
    </row>
    <row r="6888" spans="1:6" hidden="1" x14ac:dyDescent="0.25">
      <c r="A6888" t="s">
        <v>677</v>
      </c>
      <c r="B6888" t="s">
        <v>284</v>
      </c>
      <c r="E6888" s="3">
        <f>HYPERLINK("https://sao.dolgi.msk.ru/account/1404087469/", 1404087469)</f>
        <v>1404087469</v>
      </c>
      <c r="F6888">
        <v>-4263.68</v>
      </c>
    </row>
    <row r="6889" spans="1:6" hidden="1" x14ac:dyDescent="0.25">
      <c r="A6889" t="s">
        <v>677</v>
      </c>
      <c r="B6889" t="s">
        <v>285</v>
      </c>
      <c r="E6889" s="3">
        <f>HYPERLINK("https://sao.dolgi.msk.ru/account/1404084356/", 1404084356)</f>
        <v>1404084356</v>
      </c>
      <c r="F6889">
        <v>-3446.24</v>
      </c>
    </row>
    <row r="6890" spans="1:6" hidden="1" x14ac:dyDescent="0.25">
      <c r="A6890" t="s">
        <v>677</v>
      </c>
      <c r="B6890" t="s">
        <v>286</v>
      </c>
      <c r="E6890" s="3">
        <f>HYPERLINK("https://sao.dolgi.msk.ru/account/1404085666/", 1404085666)</f>
        <v>1404085666</v>
      </c>
      <c r="F6890">
        <v>-9782.7000000000007</v>
      </c>
    </row>
    <row r="6891" spans="1:6" hidden="1" x14ac:dyDescent="0.25">
      <c r="A6891" t="s">
        <v>677</v>
      </c>
      <c r="B6891" t="s">
        <v>287</v>
      </c>
      <c r="E6891" s="3">
        <f>HYPERLINK("https://sao.dolgi.msk.ru/account/1404082991/", 1404082991)</f>
        <v>1404082991</v>
      </c>
      <c r="F6891">
        <v>-4235.96</v>
      </c>
    </row>
    <row r="6892" spans="1:6" hidden="1" x14ac:dyDescent="0.25">
      <c r="A6892" t="s">
        <v>677</v>
      </c>
      <c r="B6892" t="s">
        <v>288</v>
      </c>
      <c r="E6892" s="3">
        <f>HYPERLINK("https://sao.dolgi.msk.ru/account/1404100344/", 1404100344)</f>
        <v>1404100344</v>
      </c>
      <c r="F6892">
        <v>-265.02999999999997</v>
      </c>
    </row>
    <row r="6893" spans="1:6" hidden="1" x14ac:dyDescent="0.25">
      <c r="A6893" t="s">
        <v>677</v>
      </c>
      <c r="B6893" t="s">
        <v>289</v>
      </c>
      <c r="E6893" s="3">
        <f>HYPERLINK("https://sao.dolgi.msk.ru/account/1404083425/", 1404083425)</f>
        <v>1404083425</v>
      </c>
      <c r="F6893">
        <v>-5138.2700000000004</v>
      </c>
    </row>
    <row r="6894" spans="1:6" hidden="1" x14ac:dyDescent="0.25">
      <c r="A6894" t="s">
        <v>677</v>
      </c>
      <c r="B6894" t="s">
        <v>290</v>
      </c>
      <c r="E6894" s="3">
        <f>HYPERLINK("https://sao.dolgi.msk.ru/account/1404082887/", 1404082887)</f>
        <v>1404082887</v>
      </c>
      <c r="F6894">
        <v>0</v>
      </c>
    </row>
    <row r="6895" spans="1:6" hidden="1" x14ac:dyDescent="0.25">
      <c r="A6895" t="s">
        <v>677</v>
      </c>
      <c r="B6895" t="s">
        <v>291</v>
      </c>
      <c r="E6895" s="3">
        <f>HYPERLINK("https://sao.dolgi.msk.ru/account/1404087397/", 1404087397)</f>
        <v>1404087397</v>
      </c>
      <c r="F6895">
        <v>-7826.9</v>
      </c>
    </row>
    <row r="6896" spans="1:6" hidden="1" x14ac:dyDescent="0.25">
      <c r="A6896" t="s">
        <v>677</v>
      </c>
      <c r="B6896" t="s">
        <v>292</v>
      </c>
      <c r="E6896" s="3">
        <f>HYPERLINK("https://sao.dolgi.msk.ru/account/1404084575/", 1404084575)</f>
        <v>1404084575</v>
      </c>
      <c r="F6896">
        <v>-3949.39</v>
      </c>
    </row>
    <row r="6897" spans="1:6" hidden="1" x14ac:dyDescent="0.25">
      <c r="A6897" t="s">
        <v>677</v>
      </c>
      <c r="B6897" t="s">
        <v>293</v>
      </c>
      <c r="E6897" s="3">
        <f>HYPERLINK("https://sao.dolgi.msk.ru/account/1404086028/", 1404086028)</f>
        <v>1404086028</v>
      </c>
      <c r="F6897">
        <v>-3980.71</v>
      </c>
    </row>
    <row r="6898" spans="1:6" x14ac:dyDescent="0.25">
      <c r="A6898" t="s">
        <v>677</v>
      </c>
      <c r="B6898" t="s">
        <v>294</v>
      </c>
      <c r="C6898" s="5" t="str">
        <f>" кв. "&amp;B6898</f>
        <v xml:space="preserve"> кв. 287</v>
      </c>
      <c r="D6898" s="5" t="str">
        <f>CONCATENATE(A6898,C6898)</f>
        <v>Ленинградское шоссе, дом 108 кв. 287</v>
      </c>
      <c r="E6898" s="3">
        <f>HYPERLINK("https://sao.dolgi.msk.ru/account/1404084153/", 1404084153)</f>
        <v>1404084153</v>
      </c>
      <c r="F6898">
        <v>25693.4</v>
      </c>
    </row>
    <row r="6899" spans="1:6" hidden="1" x14ac:dyDescent="0.25">
      <c r="A6899" t="s">
        <v>677</v>
      </c>
      <c r="B6899" t="s">
        <v>295</v>
      </c>
      <c r="E6899" s="3">
        <f>HYPERLINK("https://sao.dolgi.msk.ru/account/1404084073/", 1404084073)</f>
        <v>1404084073</v>
      </c>
      <c r="F6899">
        <v>-5554.23</v>
      </c>
    </row>
    <row r="6900" spans="1:6" hidden="1" x14ac:dyDescent="0.25">
      <c r="A6900" t="s">
        <v>677</v>
      </c>
      <c r="B6900" t="s">
        <v>296</v>
      </c>
      <c r="E6900" s="3">
        <f>HYPERLINK("https://sao.dolgi.msk.ru/account/1404084831/", 1404084831)</f>
        <v>1404084831</v>
      </c>
      <c r="F6900">
        <v>-5047.68</v>
      </c>
    </row>
    <row r="6901" spans="1:6" hidden="1" x14ac:dyDescent="0.25">
      <c r="A6901" t="s">
        <v>677</v>
      </c>
      <c r="B6901" t="s">
        <v>297</v>
      </c>
      <c r="E6901" s="3">
        <f>HYPERLINK("https://sao.dolgi.msk.ru/account/1404084874/", 1404084874)</f>
        <v>1404084874</v>
      </c>
      <c r="F6901">
        <v>-3949.55</v>
      </c>
    </row>
    <row r="6902" spans="1:6" hidden="1" x14ac:dyDescent="0.25">
      <c r="A6902" t="s">
        <v>677</v>
      </c>
      <c r="B6902" t="s">
        <v>298</v>
      </c>
      <c r="E6902" s="3">
        <f>HYPERLINK("https://sao.dolgi.msk.ru/account/1404083177/", 1404083177)</f>
        <v>1404083177</v>
      </c>
      <c r="F6902">
        <v>-4925.5600000000004</v>
      </c>
    </row>
    <row r="6903" spans="1:6" hidden="1" x14ac:dyDescent="0.25">
      <c r="A6903" t="s">
        <v>677</v>
      </c>
      <c r="B6903" t="s">
        <v>299</v>
      </c>
      <c r="E6903" s="3">
        <f>HYPERLINK("https://sao.dolgi.msk.ru/account/1404082502/", 1404082502)</f>
        <v>1404082502</v>
      </c>
      <c r="F6903">
        <v>-2602.86</v>
      </c>
    </row>
    <row r="6904" spans="1:6" hidden="1" x14ac:dyDescent="0.25">
      <c r="A6904" t="s">
        <v>677</v>
      </c>
      <c r="B6904" t="s">
        <v>300</v>
      </c>
      <c r="E6904" s="3">
        <f>HYPERLINK("https://sao.dolgi.msk.ru/account/1404083839/", 1404083839)</f>
        <v>1404083839</v>
      </c>
      <c r="F6904">
        <v>-4416.13</v>
      </c>
    </row>
    <row r="6905" spans="1:6" hidden="1" x14ac:dyDescent="0.25">
      <c r="A6905" t="s">
        <v>677</v>
      </c>
      <c r="B6905" t="s">
        <v>301</v>
      </c>
      <c r="E6905" s="3">
        <f>HYPERLINK("https://sao.dolgi.msk.ru/account/1404088509/", 1404088509)</f>
        <v>1404088509</v>
      </c>
      <c r="F6905">
        <v>-5324.52</v>
      </c>
    </row>
    <row r="6906" spans="1:6" x14ac:dyDescent="0.25">
      <c r="A6906" t="s">
        <v>677</v>
      </c>
      <c r="B6906" t="s">
        <v>302</v>
      </c>
      <c r="C6906" s="5" t="str">
        <f>" кв. "&amp;B6906</f>
        <v xml:space="preserve"> кв. 295</v>
      </c>
      <c r="D6906" s="5" t="str">
        <f>CONCATENATE(A6906,C6906)</f>
        <v>Ленинградское шоссе, дом 108 кв. 295</v>
      </c>
      <c r="E6906" s="3">
        <f>HYPERLINK("https://sao.dolgi.msk.ru/account/1404089093/", 1404089093)</f>
        <v>1404089093</v>
      </c>
      <c r="F6906">
        <v>20852.64</v>
      </c>
    </row>
    <row r="6907" spans="1:6" hidden="1" x14ac:dyDescent="0.25">
      <c r="A6907" t="s">
        <v>677</v>
      </c>
      <c r="B6907" t="s">
        <v>303</v>
      </c>
      <c r="E6907" s="3">
        <f>HYPERLINK("https://sao.dolgi.msk.ru/account/1404083724/", 1404083724)</f>
        <v>1404083724</v>
      </c>
      <c r="F6907">
        <v>-2861.59</v>
      </c>
    </row>
    <row r="6908" spans="1:6" hidden="1" x14ac:dyDescent="0.25">
      <c r="A6908" t="s">
        <v>677</v>
      </c>
      <c r="B6908" t="s">
        <v>304</v>
      </c>
      <c r="E6908" s="3">
        <f>HYPERLINK("https://sao.dolgi.msk.ru/account/1404089667/", 1404089667)</f>
        <v>1404089667</v>
      </c>
      <c r="F6908">
        <v>-5914.69</v>
      </c>
    </row>
    <row r="6909" spans="1:6" hidden="1" x14ac:dyDescent="0.25">
      <c r="A6909" t="s">
        <v>677</v>
      </c>
      <c r="B6909" t="s">
        <v>305</v>
      </c>
      <c r="E6909" s="3">
        <f>HYPERLINK("https://sao.dolgi.msk.ru/account/1404084145/", 1404084145)</f>
        <v>1404084145</v>
      </c>
      <c r="F6909">
        <v>-3720.99</v>
      </c>
    </row>
    <row r="6910" spans="1:6" hidden="1" x14ac:dyDescent="0.25">
      <c r="A6910" t="s">
        <v>677</v>
      </c>
      <c r="B6910" t="s">
        <v>306</v>
      </c>
      <c r="E6910" s="3">
        <f>HYPERLINK("https://sao.dolgi.msk.ru/account/1404089632/", 1404089632)</f>
        <v>1404089632</v>
      </c>
      <c r="F6910">
        <v>-5365</v>
      </c>
    </row>
    <row r="6911" spans="1:6" hidden="1" x14ac:dyDescent="0.25">
      <c r="A6911" t="s">
        <v>677</v>
      </c>
      <c r="B6911" t="s">
        <v>307</v>
      </c>
      <c r="E6911" s="3">
        <f>HYPERLINK("https://sao.dolgi.msk.ru/account/1404085236/", 1404085236)</f>
        <v>1404085236</v>
      </c>
      <c r="F6911">
        <v>-3486.36</v>
      </c>
    </row>
    <row r="6912" spans="1:6" hidden="1" x14ac:dyDescent="0.25">
      <c r="A6912" t="s">
        <v>677</v>
      </c>
      <c r="B6912" t="s">
        <v>308</v>
      </c>
      <c r="E6912" s="3">
        <f>HYPERLINK("https://sao.dolgi.msk.ru/account/1404082799/", 1404082799)</f>
        <v>1404082799</v>
      </c>
      <c r="F6912">
        <v>-4177.58</v>
      </c>
    </row>
    <row r="6913" spans="1:6" hidden="1" x14ac:dyDescent="0.25">
      <c r="A6913" t="s">
        <v>677</v>
      </c>
      <c r="B6913" t="s">
        <v>309</v>
      </c>
      <c r="E6913" s="3">
        <f>HYPERLINK("https://sao.dolgi.msk.ru/account/1404088357/", 1404088357)</f>
        <v>1404088357</v>
      </c>
      <c r="F6913">
        <v>-4241.3500000000004</v>
      </c>
    </row>
    <row r="6914" spans="1:6" hidden="1" x14ac:dyDescent="0.25">
      <c r="A6914" t="s">
        <v>677</v>
      </c>
      <c r="B6914" t="s">
        <v>310</v>
      </c>
      <c r="E6914" s="3">
        <f>HYPERLINK("https://sao.dolgi.msk.ru/account/1404084743/", 1404084743)</f>
        <v>1404084743</v>
      </c>
      <c r="F6914">
        <v>0</v>
      </c>
    </row>
    <row r="6915" spans="1:6" hidden="1" x14ac:dyDescent="0.25">
      <c r="A6915" t="s">
        <v>677</v>
      </c>
      <c r="B6915" t="s">
        <v>311</v>
      </c>
      <c r="E6915" s="3">
        <f>HYPERLINK("https://sao.dolgi.msk.ru/account/1404083599/", 1404083599)</f>
        <v>1404083599</v>
      </c>
      <c r="F6915">
        <v>-5176.99</v>
      </c>
    </row>
    <row r="6916" spans="1:6" hidden="1" x14ac:dyDescent="0.25">
      <c r="A6916" t="s">
        <v>677</v>
      </c>
      <c r="B6916" t="s">
        <v>312</v>
      </c>
      <c r="E6916" s="3">
        <f>HYPERLINK("https://sao.dolgi.msk.ru/account/1404088461/", 1404088461)</f>
        <v>1404088461</v>
      </c>
      <c r="F6916">
        <v>-4838.72</v>
      </c>
    </row>
    <row r="6917" spans="1:6" x14ac:dyDescent="0.25">
      <c r="A6917" t="s">
        <v>677</v>
      </c>
      <c r="B6917" t="s">
        <v>313</v>
      </c>
      <c r="C6917" s="5" t="str">
        <f>" кв. "&amp;B6917</f>
        <v xml:space="preserve"> кв. 306</v>
      </c>
      <c r="D6917" s="5" t="str">
        <f>CONCATENATE(A6917,C6917)</f>
        <v>Ленинградское шоссе, дом 108 кв. 306</v>
      </c>
      <c r="E6917" s="3">
        <f>HYPERLINK("https://sao.dolgi.msk.ru/account/1404089085/", 1404089085)</f>
        <v>1404089085</v>
      </c>
      <c r="F6917">
        <v>833.46</v>
      </c>
    </row>
    <row r="6918" spans="1:6" hidden="1" x14ac:dyDescent="0.25">
      <c r="A6918" t="s">
        <v>677</v>
      </c>
      <c r="B6918" t="s">
        <v>314</v>
      </c>
      <c r="E6918" s="3">
        <f>HYPERLINK("https://sao.dolgi.msk.ru/account/1404155521/", 1404155521)</f>
        <v>1404155521</v>
      </c>
      <c r="F6918">
        <v>-7114.38</v>
      </c>
    </row>
    <row r="6919" spans="1:6" hidden="1" x14ac:dyDescent="0.25">
      <c r="A6919" t="s">
        <v>677</v>
      </c>
      <c r="B6919" t="s">
        <v>315</v>
      </c>
      <c r="E6919" s="3">
        <f>HYPERLINK("https://sao.dolgi.msk.ru/account/1404100395/", 1404100395)</f>
        <v>1404100395</v>
      </c>
      <c r="F6919">
        <v>-6579.71</v>
      </c>
    </row>
    <row r="6920" spans="1:6" hidden="1" x14ac:dyDescent="0.25">
      <c r="A6920" t="s">
        <v>677</v>
      </c>
      <c r="B6920" t="s">
        <v>316</v>
      </c>
      <c r="E6920" s="3">
        <f>HYPERLINK("https://sao.dolgi.msk.ru/account/1404086394/", 1404086394)</f>
        <v>1404086394</v>
      </c>
      <c r="F6920">
        <v>-2813.35</v>
      </c>
    </row>
    <row r="6921" spans="1:6" x14ac:dyDescent="0.25">
      <c r="A6921" t="s">
        <v>677</v>
      </c>
      <c r="B6921" t="s">
        <v>317</v>
      </c>
      <c r="C6921" s="5" t="str">
        <f>" кв. "&amp;B6921</f>
        <v xml:space="preserve"> кв. 310</v>
      </c>
      <c r="D6921" s="5" t="str">
        <f>CONCATENATE(A6921,C6921)</f>
        <v>Ленинградское шоссе, дом 108 кв. 310</v>
      </c>
      <c r="E6921" s="3">
        <f>HYPERLINK("https://sao.dolgi.msk.ru/account/1404087346/", 1404087346)</f>
        <v>1404087346</v>
      </c>
      <c r="F6921">
        <v>54995.199999999997</v>
      </c>
    </row>
    <row r="6922" spans="1:6" hidden="1" x14ac:dyDescent="0.25">
      <c r="A6922" t="s">
        <v>677</v>
      </c>
      <c r="B6922" t="s">
        <v>318</v>
      </c>
      <c r="E6922" s="3">
        <f>HYPERLINK("https://sao.dolgi.msk.ru/account/1404082633/", 1404082633)</f>
        <v>1404082633</v>
      </c>
      <c r="F6922">
        <v>0</v>
      </c>
    </row>
    <row r="6923" spans="1:6" hidden="1" x14ac:dyDescent="0.25">
      <c r="A6923" t="s">
        <v>677</v>
      </c>
      <c r="B6923" t="s">
        <v>319</v>
      </c>
      <c r="E6923" s="3">
        <f>HYPERLINK("https://sao.dolgi.msk.ru/account/1404084778/", 1404084778)</f>
        <v>1404084778</v>
      </c>
      <c r="F6923">
        <v>-4104.03</v>
      </c>
    </row>
    <row r="6924" spans="1:6" hidden="1" x14ac:dyDescent="0.25">
      <c r="A6924" t="s">
        <v>677</v>
      </c>
      <c r="B6924" t="s">
        <v>422</v>
      </c>
      <c r="E6924" s="3">
        <f>HYPERLINK("https://sao.dolgi.msk.ru/account/1404089376/", 1404089376)</f>
        <v>1404089376</v>
      </c>
      <c r="F6924">
        <v>-3446.24</v>
      </c>
    </row>
    <row r="6925" spans="1:6" x14ac:dyDescent="0.25">
      <c r="A6925" t="s">
        <v>677</v>
      </c>
      <c r="B6925" t="s">
        <v>423</v>
      </c>
      <c r="C6925" s="5" t="str">
        <f>" кв. "&amp;B6925</f>
        <v xml:space="preserve"> кв. 314</v>
      </c>
      <c r="D6925" s="5" t="str">
        <f>CONCATENATE(A6925,C6925)</f>
        <v>Ленинградское шоссе, дом 108 кв. 314</v>
      </c>
      <c r="E6925" s="3">
        <f>HYPERLINK("https://sao.dolgi.msk.ru/account/1404089026/", 1404089026)</f>
        <v>1404089026</v>
      </c>
      <c r="F6925">
        <v>14035.11</v>
      </c>
    </row>
    <row r="6926" spans="1:6" hidden="1" x14ac:dyDescent="0.25">
      <c r="A6926" t="s">
        <v>677</v>
      </c>
      <c r="B6926" t="s">
        <v>424</v>
      </c>
      <c r="E6926" s="3">
        <f>HYPERLINK("https://sao.dolgi.msk.ru/account/1404082617/", 1404082617)</f>
        <v>1404082617</v>
      </c>
      <c r="F6926">
        <v>-3008.05</v>
      </c>
    </row>
    <row r="6927" spans="1:6" hidden="1" x14ac:dyDescent="0.25">
      <c r="A6927" t="s">
        <v>677</v>
      </c>
      <c r="B6927" t="s">
        <v>425</v>
      </c>
      <c r="E6927" s="3">
        <f>HYPERLINK("https://sao.dolgi.msk.ru/account/1404084495/", 1404084495)</f>
        <v>1404084495</v>
      </c>
      <c r="F6927">
        <v>-3350.68</v>
      </c>
    </row>
    <row r="6928" spans="1:6" hidden="1" x14ac:dyDescent="0.25">
      <c r="A6928" t="s">
        <v>677</v>
      </c>
      <c r="B6928" t="s">
        <v>426</v>
      </c>
      <c r="E6928" s="3">
        <f>HYPERLINK("https://sao.dolgi.msk.ru/account/1404083505/", 1404083505)</f>
        <v>1404083505</v>
      </c>
      <c r="F6928">
        <v>-4427.1499999999996</v>
      </c>
    </row>
    <row r="6929" spans="1:6" hidden="1" x14ac:dyDescent="0.25">
      <c r="A6929" t="s">
        <v>677</v>
      </c>
      <c r="B6929" t="s">
        <v>427</v>
      </c>
      <c r="E6929" s="3">
        <f>HYPERLINK("https://sao.dolgi.msk.ru/account/1404083126/", 1404083126)</f>
        <v>1404083126</v>
      </c>
      <c r="F6929">
        <v>-7791.5</v>
      </c>
    </row>
    <row r="6930" spans="1:6" hidden="1" x14ac:dyDescent="0.25">
      <c r="A6930" t="s">
        <v>677</v>
      </c>
      <c r="B6930" t="s">
        <v>428</v>
      </c>
      <c r="E6930" s="3">
        <f>HYPERLINK("https://sao.dolgi.msk.ru/account/1404086917/", 1404086917)</f>
        <v>1404086917</v>
      </c>
      <c r="F6930">
        <v>0</v>
      </c>
    </row>
    <row r="6931" spans="1:6" hidden="1" x14ac:dyDescent="0.25">
      <c r="A6931" t="s">
        <v>677</v>
      </c>
      <c r="B6931" t="s">
        <v>321</v>
      </c>
      <c r="E6931" s="3">
        <f>HYPERLINK("https://sao.dolgi.msk.ru/account/1404085914/", 1404085914)</f>
        <v>1404085914</v>
      </c>
      <c r="F6931">
        <v>-4356.9799999999996</v>
      </c>
    </row>
    <row r="6932" spans="1:6" x14ac:dyDescent="0.25">
      <c r="A6932" t="s">
        <v>677</v>
      </c>
      <c r="B6932" t="s">
        <v>322</v>
      </c>
      <c r="C6932" s="5" t="str">
        <f>" кв. "&amp;B6932</f>
        <v xml:space="preserve"> кв. 321</v>
      </c>
      <c r="D6932" s="5" t="str">
        <f>CONCATENATE(A6932,C6932)</f>
        <v>Ленинградское шоссе, дом 108 кв. 321</v>
      </c>
      <c r="E6932" s="3">
        <f>HYPERLINK("https://sao.dolgi.msk.ru/account/1404088111/", 1404088111)</f>
        <v>1404088111</v>
      </c>
      <c r="F6932">
        <v>12534.32</v>
      </c>
    </row>
    <row r="6933" spans="1:6" hidden="1" x14ac:dyDescent="0.25">
      <c r="A6933" t="s">
        <v>677</v>
      </c>
      <c r="B6933" t="s">
        <v>323</v>
      </c>
      <c r="E6933" s="3">
        <f>HYPERLINK("https://sao.dolgi.msk.ru/account/1404087485/", 1404087485)</f>
        <v>1404087485</v>
      </c>
      <c r="F6933">
        <v>-3497.84</v>
      </c>
    </row>
    <row r="6934" spans="1:6" hidden="1" x14ac:dyDescent="0.25">
      <c r="A6934" t="s">
        <v>677</v>
      </c>
      <c r="B6934" t="s">
        <v>324</v>
      </c>
      <c r="E6934" s="3">
        <f>HYPERLINK("https://sao.dolgi.msk.ru/account/1404085594/", 1404085594)</f>
        <v>1404085594</v>
      </c>
      <c r="F6934">
        <v>-3828.35</v>
      </c>
    </row>
    <row r="6935" spans="1:6" hidden="1" x14ac:dyDescent="0.25">
      <c r="A6935" t="s">
        <v>677</v>
      </c>
      <c r="B6935" t="s">
        <v>325</v>
      </c>
      <c r="E6935" s="3">
        <f>HYPERLINK("https://sao.dolgi.msk.ru/account/1404082748/", 1404082748)</f>
        <v>1404082748</v>
      </c>
      <c r="F6935">
        <v>-6665.67</v>
      </c>
    </row>
    <row r="6936" spans="1:6" hidden="1" x14ac:dyDescent="0.25">
      <c r="A6936" t="s">
        <v>677</v>
      </c>
      <c r="B6936" t="s">
        <v>326</v>
      </c>
      <c r="E6936" s="3">
        <f>HYPERLINK("https://sao.dolgi.msk.ru/account/1404083775/", 1404083775)</f>
        <v>1404083775</v>
      </c>
      <c r="F6936">
        <v>-7130.74</v>
      </c>
    </row>
    <row r="6937" spans="1:6" hidden="1" x14ac:dyDescent="0.25">
      <c r="A6937" t="s">
        <v>677</v>
      </c>
      <c r="B6937" t="s">
        <v>327</v>
      </c>
      <c r="E6937" s="3">
        <f>HYPERLINK("https://sao.dolgi.msk.ru/account/1404083863/", 1404083863)</f>
        <v>1404083863</v>
      </c>
      <c r="F6937">
        <v>-3163.59</v>
      </c>
    </row>
    <row r="6938" spans="1:6" hidden="1" x14ac:dyDescent="0.25">
      <c r="A6938" t="s">
        <v>677</v>
      </c>
      <c r="B6938" t="s">
        <v>328</v>
      </c>
      <c r="E6938" s="3">
        <f>HYPERLINK("https://sao.dolgi.msk.ru/account/1404088832/", 1404088832)</f>
        <v>1404088832</v>
      </c>
      <c r="F6938">
        <v>0</v>
      </c>
    </row>
    <row r="6939" spans="1:6" hidden="1" x14ac:dyDescent="0.25">
      <c r="A6939" t="s">
        <v>677</v>
      </c>
      <c r="B6939" t="s">
        <v>329</v>
      </c>
      <c r="E6939" s="3">
        <f>HYPERLINK("https://sao.dolgi.msk.ru/account/1404086167/", 1404086167)</f>
        <v>1404086167</v>
      </c>
      <c r="F6939">
        <v>0</v>
      </c>
    </row>
    <row r="6940" spans="1:6" hidden="1" x14ac:dyDescent="0.25">
      <c r="A6940" t="s">
        <v>677</v>
      </c>
      <c r="B6940" t="s">
        <v>330</v>
      </c>
      <c r="E6940" s="3">
        <f>HYPERLINK("https://sao.dolgi.msk.ru/account/1404083871/", 1404083871)</f>
        <v>1404083871</v>
      </c>
      <c r="F6940">
        <v>-3768.79</v>
      </c>
    </row>
    <row r="6941" spans="1:6" hidden="1" x14ac:dyDescent="0.25">
      <c r="A6941" t="s">
        <v>677</v>
      </c>
      <c r="B6941" t="s">
        <v>331</v>
      </c>
      <c r="E6941" s="3">
        <f>HYPERLINK("https://sao.dolgi.msk.ru/account/1404084065/", 1404084065)</f>
        <v>1404084065</v>
      </c>
      <c r="F6941">
        <v>-4678.3500000000004</v>
      </c>
    </row>
    <row r="6942" spans="1:6" hidden="1" x14ac:dyDescent="0.25">
      <c r="A6942" t="s">
        <v>677</v>
      </c>
      <c r="B6942" t="s">
        <v>332</v>
      </c>
      <c r="E6942" s="3">
        <f>HYPERLINK("https://sao.dolgi.msk.ru/account/1404089624/", 1404089624)</f>
        <v>1404089624</v>
      </c>
      <c r="F6942">
        <v>-6695.08</v>
      </c>
    </row>
    <row r="6943" spans="1:6" hidden="1" x14ac:dyDescent="0.25">
      <c r="A6943" t="s">
        <v>677</v>
      </c>
      <c r="B6943" t="s">
        <v>333</v>
      </c>
      <c r="E6943" s="3">
        <f>HYPERLINK("https://sao.dolgi.msk.ru/account/1404084794/", 1404084794)</f>
        <v>1404084794</v>
      </c>
      <c r="F6943">
        <v>-2902.5</v>
      </c>
    </row>
    <row r="6944" spans="1:6" hidden="1" x14ac:dyDescent="0.25">
      <c r="A6944" t="s">
        <v>677</v>
      </c>
      <c r="B6944" t="s">
        <v>333</v>
      </c>
      <c r="E6944" s="3">
        <f>HYPERLINK("https://sao.dolgi.msk.ru/account/1404093295/", 1404093295)</f>
        <v>1404093295</v>
      </c>
      <c r="F6944">
        <v>-1997.04</v>
      </c>
    </row>
    <row r="6945" spans="1:6" hidden="1" x14ac:dyDescent="0.25">
      <c r="A6945" t="s">
        <v>677</v>
      </c>
      <c r="B6945" t="s">
        <v>334</v>
      </c>
      <c r="E6945" s="3">
        <f>HYPERLINK("https://sao.dolgi.msk.ru/account/1404083572/", 1404083572)</f>
        <v>1404083572</v>
      </c>
      <c r="F6945">
        <v>-4936.58</v>
      </c>
    </row>
    <row r="6946" spans="1:6" hidden="1" x14ac:dyDescent="0.25">
      <c r="A6946" t="s">
        <v>677</v>
      </c>
      <c r="B6946" t="s">
        <v>335</v>
      </c>
      <c r="E6946" s="3">
        <f>HYPERLINK("https://sao.dolgi.msk.ru/account/1404083097/", 1404083097)</f>
        <v>1404083097</v>
      </c>
      <c r="F6946">
        <v>-2877.88</v>
      </c>
    </row>
    <row r="6947" spans="1:6" hidden="1" x14ac:dyDescent="0.25">
      <c r="A6947" t="s">
        <v>677</v>
      </c>
      <c r="B6947" t="s">
        <v>336</v>
      </c>
      <c r="E6947" s="3">
        <f>HYPERLINK("https://sao.dolgi.msk.ru/account/1404083003/", 1404083003)</f>
        <v>1404083003</v>
      </c>
      <c r="F6947">
        <v>-6405.2</v>
      </c>
    </row>
    <row r="6948" spans="1:6" hidden="1" x14ac:dyDescent="0.25">
      <c r="A6948" t="s">
        <v>677</v>
      </c>
      <c r="B6948" t="s">
        <v>337</v>
      </c>
      <c r="E6948" s="3">
        <f>HYPERLINK("https://sao.dolgi.msk.ru/account/1404082852/", 1404082852)</f>
        <v>1404082852</v>
      </c>
      <c r="F6948">
        <v>0</v>
      </c>
    </row>
    <row r="6949" spans="1:6" x14ac:dyDescent="0.25">
      <c r="A6949" t="s">
        <v>677</v>
      </c>
      <c r="B6949" t="s">
        <v>338</v>
      </c>
      <c r="C6949" s="5" t="str">
        <f>" кв. "&amp;B6949</f>
        <v xml:space="preserve"> кв. 337</v>
      </c>
      <c r="D6949" s="5" t="str">
        <f>CONCATENATE(A6949,C6949)</f>
        <v>Ленинградское шоссе, дом 108 кв. 337</v>
      </c>
      <c r="E6949" s="3">
        <f>HYPERLINK("https://sao.dolgi.msk.ru/account/1404091214/", 1404091214)</f>
        <v>1404091214</v>
      </c>
      <c r="F6949">
        <v>7659.29</v>
      </c>
    </row>
    <row r="6950" spans="1:6" hidden="1" x14ac:dyDescent="0.25">
      <c r="A6950" t="s">
        <v>677</v>
      </c>
      <c r="B6950" t="s">
        <v>339</v>
      </c>
      <c r="E6950" s="3">
        <f>HYPERLINK("https://sao.dolgi.msk.ru/account/1404083118/", 1404083118)</f>
        <v>1404083118</v>
      </c>
      <c r="F6950">
        <v>0</v>
      </c>
    </row>
    <row r="6951" spans="1:6" hidden="1" x14ac:dyDescent="0.25">
      <c r="A6951" t="s">
        <v>677</v>
      </c>
      <c r="B6951" t="s">
        <v>340</v>
      </c>
      <c r="E6951" s="3">
        <f>HYPERLINK("https://sao.dolgi.msk.ru/account/1404083134/", 1404083134)</f>
        <v>1404083134</v>
      </c>
      <c r="F6951">
        <v>-3106.23</v>
      </c>
    </row>
    <row r="6952" spans="1:6" hidden="1" x14ac:dyDescent="0.25">
      <c r="A6952" t="s">
        <v>677</v>
      </c>
      <c r="B6952" t="s">
        <v>341</v>
      </c>
      <c r="E6952" s="3">
        <f>HYPERLINK("https://sao.dolgi.msk.ru/account/1404089501/", 1404089501)</f>
        <v>1404089501</v>
      </c>
      <c r="F6952">
        <v>0</v>
      </c>
    </row>
    <row r="6953" spans="1:6" hidden="1" x14ac:dyDescent="0.25">
      <c r="A6953" t="s">
        <v>677</v>
      </c>
      <c r="B6953" t="s">
        <v>342</v>
      </c>
      <c r="E6953" s="3">
        <f>HYPERLINK("https://sao.dolgi.msk.ru/account/1404084866/", 1404084866)</f>
        <v>1404084866</v>
      </c>
      <c r="F6953">
        <v>-3107.43</v>
      </c>
    </row>
    <row r="6954" spans="1:6" hidden="1" x14ac:dyDescent="0.25">
      <c r="A6954" t="s">
        <v>677</v>
      </c>
      <c r="B6954" t="s">
        <v>343</v>
      </c>
      <c r="E6954" s="3">
        <f>HYPERLINK("https://sao.dolgi.msk.ru/account/1404084217/", 1404084217)</f>
        <v>1404084217</v>
      </c>
      <c r="F6954">
        <v>-2478.38</v>
      </c>
    </row>
    <row r="6955" spans="1:6" hidden="1" x14ac:dyDescent="0.25">
      <c r="A6955" t="s">
        <v>677</v>
      </c>
      <c r="B6955" t="s">
        <v>344</v>
      </c>
      <c r="E6955" s="3">
        <f>HYPERLINK("https://sao.dolgi.msk.ru/account/1404085455/", 1404085455)</f>
        <v>1404085455</v>
      </c>
      <c r="F6955">
        <v>-3881.02</v>
      </c>
    </row>
    <row r="6956" spans="1:6" x14ac:dyDescent="0.25">
      <c r="A6956" t="s">
        <v>677</v>
      </c>
      <c r="B6956" t="s">
        <v>345</v>
      </c>
      <c r="C6956" s="5" t="str">
        <f t="shared" ref="C6956:C6957" si="274">" кв. "&amp;B6956</f>
        <v xml:space="preserve"> кв. 344</v>
      </c>
      <c r="D6956" s="5" t="str">
        <f>CONCATENATE(A6956,C6956)</f>
        <v>Ленинградское шоссе, дом 108 кв. 344</v>
      </c>
      <c r="E6956" s="3">
        <f>HYPERLINK("https://sao.dolgi.msk.ru/account/1404090051/", 1404090051)</f>
        <v>1404090051</v>
      </c>
      <c r="F6956">
        <v>42965.66</v>
      </c>
    </row>
    <row r="6957" spans="1:6" x14ac:dyDescent="0.25">
      <c r="A6957" t="s">
        <v>677</v>
      </c>
      <c r="B6957" t="s">
        <v>345</v>
      </c>
      <c r="C6957" s="5" t="str">
        <f t="shared" si="274"/>
        <v xml:space="preserve"> кв. 344</v>
      </c>
      <c r="D6957" s="5" t="str">
        <f>CONCATENATE(A6957,C6957)</f>
        <v>Ленинградское шоссе, дом 108 кв. 344</v>
      </c>
      <c r="E6957" s="3">
        <f>HYPERLINK("https://sao.dolgi.msk.ru/account/1404090182/", 1404090182)</f>
        <v>1404090182</v>
      </c>
      <c r="F6957">
        <v>89650.98</v>
      </c>
    </row>
    <row r="6958" spans="1:6" hidden="1" x14ac:dyDescent="0.25">
      <c r="A6958" t="s">
        <v>677</v>
      </c>
      <c r="B6958" t="s">
        <v>346</v>
      </c>
      <c r="E6958" s="3">
        <f>HYPERLINK("https://sao.dolgi.msk.ru/account/1404084911/", 1404084911)</f>
        <v>1404084911</v>
      </c>
      <c r="F6958">
        <v>-21702.18</v>
      </c>
    </row>
    <row r="6959" spans="1:6" hidden="1" x14ac:dyDescent="0.25">
      <c r="A6959" t="s">
        <v>677</v>
      </c>
      <c r="B6959" t="s">
        <v>347</v>
      </c>
      <c r="E6959" s="3">
        <f>HYPERLINK("https://sao.dolgi.msk.ru/account/1404089659/", 1404089659)</f>
        <v>1404089659</v>
      </c>
      <c r="F6959">
        <v>-834.68</v>
      </c>
    </row>
    <row r="6960" spans="1:6" hidden="1" x14ac:dyDescent="0.25">
      <c r="A6960" t="s">
        <v>677</v>
      </c>
      <c r="B6960" t="s">
        <v>348</v>
      </c>
      <c r="E6960" s="3">
        <f>HYPERLINK("https://sao.dolgi.msk.ru/account/1404083601/", 1404083601)</f>
        <v>1404083601</v>
      </c>
      <c r="F6960">
        <v>-5461.05</v>
      </c>
    </row>
    <row r="6961" spans="1:6" hidden="1" x14ac:dyDescent="0.25">
      <c r="A6961" t="s">
        <v>677</v>
      </c>
      <c r="B6961" t="s">
        <v>349</v>
      </c>
      <c r="E6961" s="3">
        <f>HYPERLINK("https://sao.dolgi.msk.ru/account/1404083388/", 1404083388)</f>
        <v>1404083388</v>
      </c>
      <c r="F6961">
        <v>-3856.68</v>
      </c>
    </row>
    <row r="6962" spans="1:6" hidden="1" x14ac:dyDescent="0.25">
      <c r="A6962" t="s">
        <v>677</v>
      </c>
      <c r="B6962" t="s">
        <v>350</v>
      </c>
      <c r="E6962" s="3">
        <f>HYPERLINK("https://sao.dolgi.msk.ru/account/1404085201/", 1404085201)</f>
        <v>1404085201</v>
      </c>
      <c r="F6962">
        <v>-5491.69</v>
      </c>
    </row>
    <row r="6963" spans="1:6" hidden="1" x14ac:dyDescent="0.25">
      <c r="A6963" t="s">
        <v>677</v>
      </c>
      <c r="B6963" t="s">
        <v>351</v>
      </c>
      <c r="E6963" s="3">
        <f>HYPERLINK("https://sao.dolgi.msk.ru/account/1404087071/", 1404087071)</f>
        <v>1404087071</v>
      </c>
      <c r="F6963">
        <v>0</v>
      </c>
    </row>
    <row r="6964" spans="1:6" hidden="1" x14ac:dyDescent="0.25">
      <c r="A6964" t="s">
        <v>677</v>
      </c>
      <c r="B6964" t="s">
        <v>352</v>
      </c>
      <c r="E6964" s="3">
        <f>HYPERLINK("https://sao.dolgi.msk.ru/account/1404088218/", 1404088218)</f>
        <v>1404088218</v>
      </c>
      <c r="F6964">
        <v>-2448.86</v>
      </c>
    </row>
    <row r="6965" spans="1:6" hidden="1" x14ac:dyDescent="0.25">
      <c r="A6965" t="s">
        <v>677</v>
      </c>
      <c r="B6965" t="s">
        <v>353</v>
      </c>
      <c r="E6965" s="3">
        <f>HYPERLINK("https://sao.dolgi.msk.ru/account/1404089552/", 1404089552)</f>
        <v>1404089552</v>
      </c>
      <c r="F6965">
        <v>-3127.73</v>
      </c>
    </row>
    <row r="6966" spans="1:6" hidden="1" x14ac:dyDescent="0.25">
      <c r="A6966" t="s">
        <v>677</v>
      </c>
      <c r="B6966" t="s">
        <v>354</v>
      </c>
      <c r="E6966" s="3">
        <f>HYPERLINK("https://sao.dolgi.msk.ru/account/1404083062/", 1404083062)</f>
        <v>1404083062</v>
      </c>
      <c r="F6966">
        <v>-4633.84</v>
      </c>
    </row>
    <row r="6967" spans="1:6" hidden="1" x14ac:dyDescent="0.25">
      <c r="A6967" t="s">
        <v>677</v>
      </c>
      <c r="B6967" t="s">
        <v>355</v>
      </c>
      <c r="E6967" s="3">
        <f>HYPERLINK("https://sao.dolgi.msk.ru/account/1404088701/", 1404088701)</f>
        <v>1404088701</v>
      </c>
      <c r="F6967">
        <v>-274.63</v>
      </c>
    </row>
    <row r="6968" spans="1:6" hidden="1" x14ac:dyDescent="0.25">
      <c r="A6968" t="s">
        <v>677</v>
      </c>
      <c r="B6968" t="s">
        <v>356</v>
      </c>
      <c r="E6968" s="3">
        <f>HYPERLINK("https://sao.dolgi.msk.ru/account/1404083847/", 1404083847)</f>
        <v>1404083847</v>
      </c>
      <c r="F6968">
        <v>-4906.45</v>
      </c>
    </row>
    <row r="6969" spans="1:6" hidden="1" x14ac:dyDescent="0.25">
      <c r="A6969" t="s">
        <v>677</v>
      </c>
      <c r="B6969" t="s">
        <v>357</v>
      </c>
      <c r="E6969" s="3">
        <f>HYPERLINK("https://sao.dolgi.msk.ru/account/1404085498/", 1404085498)</f>
        <v>1404085498</v>
      </c>
      <c r="F6969">
        <v>-305.05</v>
      </c>
    </row>
    <row r="6970" spans="1:6" hidden="1" x14ac:dyDescent="0.25">
      <c r="A6970" t="s">
        <v>677</v>
      </c>
      <c r="B6970" t="s">
        <v>358</v>
      </c>
      <c r="E6970" s="3">
        <f>HYPERLINK("https://sao.dolgi.msk.ru/account/1404089042/", 1404089042)</f>
        <v>1404089042</v>
      </c>
      <c r="F6970">
        <v>-5292.63</v>
      </c>
    </row>
    <row r="6971" spans="1:6" hidden="1" x14ac:dyDescent="0.25">
      <c r="A6971" t="s">
        <v>677</v>
      </c>
      <c r="B6971" t="s">
        <v>359</v>
      </c>
      <c r="E6971" s="3">
        <f>HYPERLINK("https://sao.dolgi.msk.ru/account/1404083417/", 1404083417)</f>
        <v>1404083417</v>
      </c>
      <c r="F6971">
        <v>-2486.61</v>
      </c>
    </row>
    <row r="6972" spans="1:6" x14ac:dyDescent="0.25">
      <c r="A6972" t="s">
        <v>677</v>
      </c>
      <c r="B6972" t="s">
        <v>360</v>
      </c>
      <c r="C6972" s="5" t="str">
        <f>" кв. "&amp;B6972</f>
        <v xml:space="preserve"> кв. 359</v>
      </c>
      <c r="D6972" s="5" t="str">
        <f>CONCATENATE(A6972,C6972)</f>
        <v>Ленинградское шоссе, дом 108 кв. 359</v>
      </c>
      <c r="E6972" s="3">
        <f>HYPERLINK("https://sao.dolgi.msk.ru/account/1404083257/", 1404083257)</f>
        <v>1404083257</v>
      </c>
      <c r="F6972">
        <v>39137.03</v>
      </c>
    </row>
    <row r="6973" spans="1:6" hidden="1" x14ac:dyDescent="0.25">
      <c r="A6973" t="s">
        <v>677</v>
      </c>
      <c r="B6973" t="s">
        <v>361</v>
      </c>
      <c r="E6973" s="3">
        <f>HYPERLINK("https://sao.dolgi.msk.ru/account/1404084399/", 1404084399)</f>
        <v>1404084399</v>
      </c>
      <c r="F6973">
        <v>-5623.62</v>
      </c>
    </row>
    <row r="6974" spans="1:6" hidden="1" x14ac:dyDescent="0.25">
      <c r="A6974" t="s">
        <v>677</v>
      </c>
      <c r="B6974" t="s">
        <v>362</v>
      </c>
      <c r="E6974" s="3">
        <f>HYPERLINK("https://sao.dolgi.msk.ru/account/1404088971/", 1404088971)</f>
        <v>1404088971</v>
      </c>
      <c r="F6974">
        <v>-990.8</v>
      </c>
    </row>
    <row r="6975" spans="1:6" x14ac:dyDescent="0.25">
      <c r="A6975" t="s">
        <v>677</v>
      </c>
      <c r="B6975" t="s">
        <v>363</v>
      </c>
      <c r="C6975" s="5" t="str">
        <f>" кв. "&amp;B6975</f>
        <v xml:space="preserve"> кв. 362</v>
      </c>
      <c r="D6975" s="5" t="str">
        <f>CONCATENATE(A6975,C6975)</f>
        <v>Ленинградское шоссе, дом 108 кв. 362</v>
      </c>
      <c r="E6975" s="3">
        <f>HYPERLINK("https://sao.dolgi.msk.ru/account/1404086503/", 1404086503)</f>
        <v>1404086503</v>
      </c>
      <c r="F6975">
        <v>148530.07</v>
      </c>
    </row>
    <row r="6976" spans="1:6" hidden="1" x14ac:dyDescent="0.25">
      <c r="A6976" t="s">
        <v>677</v>
      </c>
      <c r="B6976" t="s">
        <v>364</v>
      </c>
      <c r="E6976" s="3">
        <f>HYPERLINK("https://sao.dolgi.msk.ru/account/1404082713/", 1404082713)</f>
        <v>1404082713</v>
      </c>
      <c r="F6976">
        <v>0</v>
      </c>
    </row>
    <row r="6977" spans="1:6" hidden="1" x14ac:dyDescent="0.25">
      <c r="A6977" t="s">
        <v>677</v>
      </c>
      <c r="B6977" t="s">
        <v>365</v>
      </c>
      <c r="E6977" s="3">
        <f>HYPERLINK("https://sao.dolgi.msk.ru/account/1404085041/", 1404085041)</f>
        <v>1404085041</v>
      </c>
      <c r="F6977">
        <v>-6892.4</v>
      </c>
    </row>
    <row r="6978" spans="1:6" hidden="1" x14ac:dyDescent="0.25">
      <c r="A6978" t="s">
        <v>677</v>
      </c>
      <c r="B6978" t="s">
        <v>366</v>
      </c>
      <c r="E6978" s="3">
        <f>HYPERLINK("https://sao.dolgi.msk.ru/account/1404087426/", 1404087426)</f>
        <v>1404087426</v>
      </c>
      <c r="F6978">
        <v>-5324.52</v>
      </c>
    </row>
    <row r="6979" spans="1:6" hidden="1" x14ac:dyDescent="0.25">
      <c r="A6979" t="s">
        <v>677</v>
      </c>
      <c r="B6979" t="s">
        <v>367</v>
      </c>
      <c r="E6979" s="3">
        <f>HYPERLINK("https://sao.dolgi.msk.ru/account/1404083302/", 1404083302)</f>
        <v>1404083302</v>
      </c>
      <c r="F6979">
        <v>-2534.3200000000002</v>
      </c>
    </row>
    <row r="6980" spans="1:6" hidden="1" x14ac:dyDescent="0.25">
      <c r="A6980" t="s">
        <v>677</v>
      </c>
      <c r="B6980" t="s">
        <v>368</v>
      </c>
      <c r="E6980" s="3">
        <f>HYPERLINK("https://sao.dolgi.msk.ru/account/1404088808/", 1404088808)</f>
        <v>1404088808</v>
      </c>
      <c r="F6980">
        <v>0</v>
      </c>
    </row>
    <row r="6981" spans="1:6" hidden="1" x14ac:dyDescent="0.25">
      <c r="A6981" t="s">
        <v>677</v>
      </c>
      <c r="B6981" t="s">
        <v>369</v>
      </c>
      <c r="E6981" s="3">
        <f>HYPERLINK("https://sao.dolgi.msk.ru/account/1404084137/", 1404084137)</f>
        <v>1404084137</v>
      </c>
      <c r="F6981">
        <v>-3002.96</v>
      </c>
    </row>
    <row r="6982" spans="1:6" hidden="1" x14ac:dyDescent="0.25">
      <c r="A6982" t="s">
        <v>677</v>
      </c>
      <c r="B6982" t="s">
        <v>370</v>
      </c>
      <c r="E6982" s="3">
        <f>HYPERLINK("https://sao.dolgi.msk.ru/account/1404088728/", 1404088728)</f>
        <v>1404088728</v>
      </c>
      <c r="F6982">
        <v>-6155.35</v>
      </c>
    </row>
    <row r="6983" spans="1:6" hidden="1" x14ac:dyDescent="0.25">
      <c r="A6983" t="s">
        <v>677</v>
      </c>
      <c r="B6983" t="s">
        <v>371</v>
      </c>
      <c r="E6983" s="3">
        <f>HYPERLINK("https://sao.dolgi.msk.ru/account/1404082908/", 1404082908)</f>
        <v>1404082908</v>
      </c>
      <c r="F6983">
        <v>-305.05</v>
      </c>
    </row>
    <row r="6984" spans="1:6" hidden="1" x14ac:dyDescent="0.25">
      <c r="A6984" t="s">
        <v>677</v>
      </c>
      <c r="B6984" t="s">
        <v>372</v>
      </c>
      <c r="E6984" s="3">
        <f>HYPERLINK("https://sao.dolgi.msk.ru/account/1404083898/", 1404083898)</f>
        <v>1404083898</v>
      </c>
      <c r="F6984">
        <v>-4176.91</v>
      </c>
    </row>
    <row r="6985" spans="1:6" hidden="1" x14ac:dyDescent="0.25">
      <c r="A6985" t="s">
        <v>677</v>
      </c>
      <c r="B6985" t="s">
        <v>373</v>
      </c>
      <c r="E6985" s="3">
        <f>HYPERLINK("https://sao.dolgi.msk.ru/account/1404083695/", 1404083695)</f>
        <v>1404083695</v>
      </c>
      <c r="F6985">
        <v>-3589.74</v>
      </c>
    </row>
    <row r="6986" spans="1:6" hidden="1" x14ac:dyDescent="0.25">
      <c r="A6986" t="s">
        <v>677</v>
      </c>
      <c r="B6986" t="s">
        <v>374</v>
      </c>
      <c r="E6986" s="3">
        <f>HYPERLINK("https://sao.dolgi.msk.ru/account/1404082609/", 1404082609)</f>
        <v>1404082609</v>
      </c>
      <c r="F6986">
        <v>-4497.47</v>
      </c>
    </row>
    <row r="6987" spans="1:6" hidden="1" x14ac:dyDescent="0.25">
      <c r="A6987" t="s">
        <v>677</v>
      </c>
      <c r="B6987" t="s">
        <v>375</v>
      </c>
      <c r="E6987" s="3">
        <f>HYPERLINK("https://sao.dolgi.msk.ru/account/1404083396/", 1404083396)</f>
        <v>1404083396</v>
      </c>
      <c r="F6987">
        <v>-4363.4399999999996</v>
      </c>
    </row>
    <row r="6988" spans="1:6" x14ac:dyDescent="0.25">
      <c r="A6988" t="s">
        <v>677</v>
      </c>
      <c r="B6988" t="s">
        <v>376</v>
      </c>
      <c r="C6988" s="5" t="str">
        <f>" кв. "&amp;B6988</f>
        <v xml:space="preserve"> кв. 375</v>
      </c>
      <c r="D6988" s="5" t="str">
        <f>CONCATENATE(A6988,C6988)</f>
        <v>Ленинградское шоссе, дом 108 кв. 375</v>
      </c>
      <c r="E6988" s="3">
        <f>HYPERLINK("https://sao.dolgi.msk.ru/account/1404083193/", 1404083193)</f>
        <v>1404083193</v>
      </c>
      <c r="F6988">
        <v>6026.79</v>
      </c>
    </row>
    <row r="6989" spans="1:6" hidden="1" x14ac:dyDescent="0.25">
      <c r="A6989" t="s">
        <v>677</v>
      </c>
      <c r="B6989" t="s">
        <v>377</v>
      </c>
      <c r="E6989" s="3">
        <f>HYPERLINK("https://sao.dolgi.msk.ru/account/1404082625/", 1404082625)</f>
        <v>1404082625</v>
      </c>
      <c r="F6989">
        <v>-5310.99</v>
      </c>
    </row>
    <row r="6990" spans="1:6" hidden="1" x14ac:dyDescent="0.25">
      <c r="A6990" t="s">
        <v>677</v>
      </c>
      <c r="B6990" t="s">
        <v>378</v>
      </c>
      <c r="E6990" s="3">
        <f>HYPERLINK("https://sao.dolgi.msk.ru/account/1404155548/", 1404155548)</f>
        <v>1404155548</v>
      </c>
      <c r="F6990">
        <v>-6991.34</v>
      </c>
    </row>
    <row r="6991" spans="1:6" hidden="1" x14ac:dyDescent="0.25">
      <c r="A6991" t="s">
        <v>677</v>
      </c>
      <c r="B6991" t="s">
        <v>379</v>
      </c>
      <c r="E6991" s="3">
        <f>HYPERLINK("https://sao.dolgi.msk.ru/account/1404089528/", 1404089528)</f>
        <v>1404089528</v>
      </c>
      <c r="F6991">
        <v>-5129.93</v>
      </c>
    </row>
    <row r="6992" spans="1:6" hidden="1" x14ac:dyDescent="0.25">
      <c r="A6992" t="s">
        <v>677</v>
      </c>
      <c r="B6992" t="s">
        <v>380</v>
      </c>
      <c r="E6992" s="3">
        <f>HYPERLINK("https://sao.dolgi.msk.ru/account/1404139417/", 1404139417)</f>
        <v>1404139417</v>
      </c>
      <c r="F6992">
        <v>-3994.07</v>
      </c>
    </row>
    <row r="6993" spans="1:6" hidden="1" x14ac:dyDescent="0.25">
      <c r="A6993" t="s">
        <v>677</v>
      </c>
      <c r="B6993" t="s">
        <v>381</v>
      </c>
      <c r="E6993" s="3">
        <f>HYPERLINK("https://sao.dolgi.msk.ru/account/1404085834/", 1404085834)</f>
        <v>1404085834</v>
      </c>
      <c r="F6993">
        <v>-4433.5200000000004</v>
      </c>
    </row>
    <row r="6994" spans="1:6" hidden="1" x14ac:dyDescent="0.25">
      <c r="A6994" t="s">
        <v>677</v>
      </c>
      <c r="B6994" t="s">
        <v>382</v>
      </c>
      <c r="E6994" s="3">
        <f>HYPERLINK("https://sao.dolgi.msk.ru/account/1404140266/", 1404140266)</f>
        <v>1404140266</v>
      </c>
      <c r="F6994">
        <v>-3856.39</v>
      </c>
    </row>
    <row r="6995" spans="1:6" x14ac:dyDescent="0.25">
      <c r="A6995" t="s">
        <v>677</v>
      </c>
      <c r="B6995" t="s">
        <v>383</v>
      </c>
      <c r="C6995" s="5" t="str">
        <f>" кв. "&amp;B6995</f>
        <v xml:space="preserve"> кв. 382</v>
      </c>
      <c r="D6995" s="5" t="str">
        <f>CONCATENATE(A6995,C6995)</f>
        <v>Ленинградское шоссе, дом 108 кв. 382</v>
      </c>
      <c r="E6995" s="3">
        <f>HYPERLINK("https://sao.dolgi.msk.ru/account/1404082916/", 1404082916)</f>
        <v>1404082916</v>
      </c>
      <c r="F6995">
        <v>2531.88</v>
      </c>
    </row>
    <row r="6996" spans="1:6" hidden="1" x14ac:dyDescent="0.25">
      <c r="A6996" t="s">
        <v>677</v>
      </c>
      <c r="B6996" t="s">
        <v>384</v>
      </c>
      <c r="E6996" s="3">
        <f>HYPERLINK("https://sao.dolgi.msk.ru/account/1404084268/", 1404084268)</f>
        <v>1404084268</v>
      </c>
      <c r="F6996">
        <v>-3096.08</v>
      </c>
    </row>
    <row r="6997" spans="1:6" hidden="1" x14ac:dyDescent="0.25">
      <c r="A6997" t="s">
        <v>677</v>
      </c>
      <c r="B6997" t="s">
        <v>385</v>
      </c>
      <c r="E6997" s="3">
        <f>HYPERLINK("https://sao.dolgi.msk.ru/account/1404083214/", 1404083214)</f>
        <v>1404083214</v>
      </c>
      <c r="F6997">
        <v>-4412.16</v>
      </c>
    </row>
    <row r="6998" spans="1:6" hidden="1" x14ac:dyDescent="0.25">
      <c r="A6998" t="s">
        <v>677</v>
      </c>
      <c r="B6998" t="s">
        <v>386</v>
      </c>
      <c r="E6998" s="3">
        <f>HYPERLINK("https://sao.dolgi.msk.ru/account/1404090297/", 1404090297)</f>
        <v>1404090297</v>
      </c>
      <c r="F6998">
        <v>-4641.84</v>
      </c>
    </row>
    <row r="6999" spans="1:6" hidden="1" x14ac:dyDescent="0.25">
      <c r="A6999" t="s">
        <v>677</v>
      </c>
      <c r="B6999" t="s">
        <v>387</v>
      </c>
      <c r="E6999" s="3">
        <f>HYPERLINK("https://sao.dolgi.msk.ru/account/1404087872/", 1404087872)</f>
        <v>1404087872</v>
      </c>
      <c r="F6999">
        <v>-2502.4699999999998</v>
      </c>
    </row>
    <row r="7000" spans="1:6" hidden="1" x14ac:dyDescent="0.25">
      <c r="A7000" t="s">
        <v>677</v>
      </c>
      <c r="B7000" t="s">
        <v>388</v>
      </c>
      <c r="E7000" s="3">
        <f>HYPERLINK("https://sao.dolgi.msk.ru/account/1404082684/", 1404082684)</f>
        <v>1404082684</v>
      </c>
      <c r="F7000">
        <v>-5266.11</v>
      </c>
    </row>
    <row r="7001" spans="1:6" hidden="1" x14ac:dyDescent="0.25">
      <c r="A7001" t="s">
        <v>677</v>
      </c>
      <c r="B7001" t="s">
        <v>389</v>
      </c>
      <c r="E7001" s="3">
        <f>HYPERLINK("https://sao.dolgi.msk.ru/account/1404084663/", 1404084663)</f>
        <v>1404084663</v>
      </c>
      <c r="F7001">
        <v>0</v>
      </c>
    </row>
    <row r="7002" spans="1:6" hidden="1" x14ac:dyDescent="0.25">
      <c r="A7002" t="s">
        <v>677</v>
      </c>
      <c r="B7002" t="s">
        <v>390</v>
      </c>
      <c r="E7002" s="3">
        <f>HYPERLINK("https://sao.dolgi.msk.ru/account/1404088621/", 1404088621)</f>
        <v>1404088621</v>
      </c>
      <c r="F7002">
        <v>-19771.36</v>
      </c>
    </row>
    <row r="7003" spans="1:6" hidden="1" x14ac:dyDescent="0.25">
      <c r="A7003" t="s">
        <v>677</v>
      </c>
      <c r="B7003" t="s">
        <v>391</v>
      </c>
      <c r="E7003" s="3">
        <f>HYPERLINK("https://sao.dolgi.msk.ru/account/1404089608/", 1404089608)</f>
        <v>1404089608</v>
      </c>
      <c r="F7003">
        <v>-5124.16</v>
      </c>
    </row>
    <row r="7004" spans="1:6" hidden="1" x14ac:dyDescent="0.25">
      <c r="A7004" t="s">
        <v>677</v>
      </c>
      <c r="B7004" t="s">
        <v>392</v>
      </c>
      <c r="E7004" s="3">
        <f>HYPERLINK("https://sao.dolgi.msk.ru/account/1404083687/", 1404083687)</f>
        <v>1404083687</v>
      </c>
      <c r="F7004">
        <v>-3213.4</v>
      </c>
    </row>
    <row r="7005" spans="1:6" x14ac:dyDescent="0.25">
      <c r="A7005" t="s">
        <v>677</v>
      </c>
      <c r="B7005" t="s">
        <v>393</v>
      </c>
      <c r="C7005" s="5" t="str">
        <f>" кв. "&amp;B7005</f>
        <v xml:space="preserve"> кв. 392</v>
      </c>
      <c r="D7005" s="5" t="str">
        <f>CONCATENATE(A7005,C7005)</f>
        <v>Ленинградское шоссе, дом 108 кв. 392</v>
      </c>
      <c r="E7005" s="3">
        <f>HYPERLINK("https://sao.dolgi.msk.ru/account/1404090158/", 1404090158)</f>
        <v>1404090158</v>
      </c>
      <c r="F7005">
        <v>7376.06</v>
      </c>
    </row>
    <row r="7006" spans="1:6" hidden="1" x14ac:dyDescent="0.25">
      <c r="A7006" t="s">
        <v>677</v>
      </c>
      <c r="B7006" t="s">
        <v>394</v>
      </c>
      <c r="E7006" s="3">
        <f>HYPERLINK("https://sao.dolgi.msk.ru/account/1404083732/", 1404083732)</f>
        <v>1404083732</v>
      </c>
      <c r="F7006">
        <v>-2281.2800000000002</v>
      </c>
    </row>
    <row r="7007" spans="1:6" hidden="1" x14ac:dyDescent="0.25">
      <c r="A7007" t="s">
        <v>677</v>
      </c>
      <c r="B7007" t="s">
        <v>395</v>
      </c>
      <c r="E7007" s="3">
        <f>HYPERLINK("https://sao.dolgi.msk.ru/account/1404084444/", 1404084444)</f>
        <v>1404084444</v>
      </c>
      <c r="F7007">
        <v>-1216.43</v>
      </c>
    </row>
    <row r="7008" spans="1:6" hidden="1" x14ac:dyDescent="0.25">
      <c r="A7008" t="s">
        <v>677</v>
      </c>
      <c r="B7008" t="s">
        <v>395</v>
      </c>
      <c r="E7008" s="3">
        <f>HYPERLINK("https://sao.dolgi.msk.ru/account/1404090537/", 1404090537)</f>
        <v>1404090537</v>
      </c>
      <c r="F7008">
        <v>-3317.28</v>
      </c>
    </row>
    <row r="7009" spans="1:6" hidden="1" x14ac:dyDescent="0.25">
      <c r="A7009" t="s">
        <v>677</v>
      </c>
      <c r="B7009" t="s">
        <v>396</v>
      </c>
      <c r="E7009" s="3">
        <f>HYPERLINK("https://sao.dolgi.msk.ru/account/1404088381/", 1404088381)</f>
        <v>1404088381</v>
      </c>
      <c r="F7009">
        <v>0</v>
      </c>
    </row>
    <row r="7010" spans="1:6" hidden="1" x14ac:dyDescent="0.25">
      <c r="A7010" t="s">
        <v>677</v>
      </c>
      <c r="B7010" t="s">
        <v>397</v>
      </c>
      <c r="E7010" s="3">
        <f>HYPERLINK("https://sao.dolgi.msk.ru/account/1404082764/", 1404082764)</f>
        <v>1404082764</v>
      </c>
      <c r="F7010">
        <v>-4557.8999999999996</v>
      </c>
    </row>
    <row r="7011" spans="1:6" hidden="1" x14ac:dyDescent="0.25">
      <c r="A7011" t="s">
        <v>677</v>
      </c>
      <c r="B7011" t="s">
        <v>398</v>
      </c>
      <c r="E7011" s="3">
        <f>HYPERLINK("https://sao.dolgi.msk.ru/account/1404087522/", 1404087522)</f>
        <v>1404087522</v>
      </c>
      <c r="F7011">
        <v>-2868.77</v>
      </c>
    </row>
    <row r="7012" spans="1:6" x14ac:dyDescent="0.25">
      <c r="A7012" t="s">
        <v>677</v>
      </c>
      <c r="B7012" t="s">
        <v>399</v>
      </c>
      <c r="C7012" s="5" t="str">
        <f>" кв. "&amp;B7012</f>
        <v xml:space="preserve"> кв. 398</v>
      </c>
      <c r="D7012" s="5" t="str">
        <f>CONCATENATE(A7012,C7012)</f>
        <v>Ленинградское шоссе, дом 108 кв. 398</v>
      </c>
      <c r="E7012" s="3">
        <f>HYPERLINK("https://sao.dolgi.msk.ru/account/1404084954/", 1404084954)</f>
        <v>1404084954</v>
      </c>
      <c r="F7012">
        <v>3696.78</v>
      </c>
    </row>
    <row r="7013" spans="1:6" hidden="1" x14ac:dyDescent="0.25">
      <c r="A7013" t="s">
        <v>677</v>
      </c>
      <c r="B7013" t="s">
        <v>400</v>
      </c>
      <c r="E7013" s="3">
        <f>HYPERLINK("https://sao.dolgi.msk.ru/account/1404100459/", 1404100459)</f>
        <v>1404100459</v>
      </c>
      <c r="F7013">
        <v>-3079.43</v>
      </c>
    </row>
    <row r="7014" spans="1:6" hidden="1" x14ac:dyDescent="0.25">
      <c r="A7014" t="s">
        <v>677</v>
      </c>
      <c r="B7014" t="s">
        <v>401</v>
      </c>
      <c r="E7014" s="3">
        <f>HYPERLINK("https://sao.dolgi.msk.ru/account/1404085738/", 1404085738)</f>
        <v>1404085738</v>
      </c>
      <c r="F7014">
        <v>-3489.35</v>
      </c>
    </row>
    <row r="7015" spans="1:6" hidden="1" x14ac:dyDescent="0.25">
      <c r="A7015" t="s">
        <v>677</v>
      </c>
      <c r="B7015" t="s">
        <v>402</v>
      </c>
      <c r="E7015" s="3">
        <f>HYPERLINK("https://sao.dolgi.msk.ru/account/1404083716/", 1404083716)</f>
        <v>1404083716</v>
      </c>
      <c r="F7015">
        <v>0</v>
      </c>
    </row>
    <row r="7016" spans="1:6" x14ac:dyDescent="0.25">
      <c r="A7016" t="s">
        <v>677</v>
      </c>
      <c r="B7016" t="s">
        <v>403</v>
      </c>
      <c r="C7016" s="5" t="str">
        <f>" кв. "&amp;B7016</f>
        <v xml:space="preserve"> кв. 402</v>
      </c>
      <c r="D7016" s="5" t="str">
        <f>CONCATENATE(A7016,C7016)</f>
        <v>Ленинградское шоссе, дом 108 кв. 402</v>
      </c>
      <c r="E7016" s="3">
        <f>HYPERLINK("https://sao.dolgi.msk.ru/account/1404084524/", 1404084524)</f>
        <v>1404084524</v>
      </c>
      <c r="F7016">
        <v>6199.66</v>
      </c>
    </row>
    <row r="7017" spans="1:6" hidden="1" x14ac:dyDescent="0.25">
      <c r="A7017" t="s">
        <v>677</v>
      </c>
      <c r="B7017" t="s">
        <v>404</v>
      </c>
      <c r="E7017" s="3">
        <f>HYPERLINK("https://sao.dolgi.msk.ru/account/1404085471/", 1404085471)</f>
        <v>1404085471</v>
      </c>
      <c r="F7017">
        <v>-2868.55</v>
      </c>
    </row>
    <row r="7018" spans="1:6" hidden="1" x14ac:dyDescent="0.25">
      <c r="A7018" t="s">
        <v>677</v>
      </c>
      <c r="B7018" t="s">
        <v>405</v>
      </c>
      <c r="E7018" s="3">
        <f>HYPERLINK("https://sao.dolgi.msk.ru/account/1404087303/", 1404087303)</f>
        <v>1404087303</v>
      </c>
      <c r="F7018">
        <v>-3249.87</v>
      </c>
    </row>
    <row r="7019" spans="1:6" hidden="1" x14ac:dyDescent="0.25">
      <c r="A7019" t="s">
        <v>677</v>
      </c>
      <c r="B7019" t="s">
        <v>406</v>
      </c>
      <c r="E7019" s="3">
        <f>HYPERLINK("https://sao.dolgi.msk.ru/account/1404087602/", 1404087602)</f>
        <v>1404087602</v>
      </c>
      <c r="F7019">
        <v>-4963.2700000000004</v>
      </c>
    </row>
    <row r="7020" spans="1:6" hidden="1" x14ac:dyDescent="0.25">
      <c r="A7020" t="s">
        <v>677</v>
      </c>
      <c r="B7020" t="s">
        <v>407</v>
      </c>
      <c r="E7020" s="3">
        <f>HYPERLINK("https://sao.dolgi.msk.ru/account/1404100467/", 1404100467)</f>
        <v>1404100467</v>
      </c>
      <c r="F7020">
        <v>0</v>
      </c>
    </row>
    <row r="7021" spans="1:6" hidden="1" x14ac:dyDescent="0.25">
      <c r="A7021" t="s">
        <v>677</v>
      </c>
      <c r="B7021" t="s">
        <v>407</v>
      </c>
      <c r="E7021" s="3">
        <f>HYPERLINK("https://sao.dolgi.msk.ru/account/1404149615/", 1404149615)</f>
        <v>1404149615</v>
      </c>
      <c r="F7021">
        <v>-3770.57</v>
      </c>
    </row>
    <row r="7022" spans="1:6" hidden="1" x14ac:dyDescent="0.25">
      <c r="A7022" t="s">
        <v>677</v>
      </c>
      <c r="B7022" t="s">
        <v>408</v>
      </c>
      <c r="E7022" s="3">
        <f>HYPERLINK("https://sao.dolgi.msk.ru/account/1404140207/", 1404140207)</f>
        <v>1404140207</v>
      </c>
      <c r="F7022">
        <v>0</v>
      </c>
    </row>
    <row r="7023" spans="1:6" x14ac:dyDescent="0.25">
      <c r="A7023" t="s">
        <v>677</v>
      </c>
      <c r="B7023" t="s">
        <v>409</v>
      </c>
      <c r="C7023" s="5" t="str">
        <f>" кв. "&amp;B7023</f>
        <v xml:space="preserve"> кв. 408</v>
      </c>
      <c r="D7023" s="5" t="str">
        <f>CONCATENATE(A7023,C7023)</f>
        <v>Ленинградское шоссе, дом 108 кв. 408</v>
      </c>
      <c r="E7023" s="3">
        <f>HYPERLINK("https://sao.dolgi.msk.ru/account/1404090625/", 1404090625)</f>
        <v>1404090625</v>
      </c>
      <c r="F7023">
        <v>102175.05</v>
      </c>
    </row>
    <row r="7024" spans="1:6" hidden="1" x14ac:dyDescent="0.25">
      <c r="A7024" t="s">
        <v>677</v>
      </c>
      <c r="B7024" t="s">
        <v>409</v>
      </c>
      <c r="E7024" s="3">
        <f>HYPERLINK("https://sao.dolgi.msk.ru/account/1404098117/", 1404098117)</f>
        <v>1404098117</v>
      </c>
      <c r="F7024">
        <v>-1139.67</v>
      </c>
    </row>
    <row r="7025" spans="1:6" hidden="1" x14ac:dyDescent="0.25">
      <c r="A7025" t="s">
        <v>677</v>
      </c>
      <c r="B7025" t="s">
        <v>410</v>
      </c>
      <c r="E7025" s="3">
        <f>HYPERLINK("https://sao.dolgi.msk.ru/account/1404084305/", 1404084305)</f>
        <v>1404084305</v>
      </c>
      <c r="F7025">
        <v>-930.39</v>
      </c>
    </row>
    <row r="7026" spans="1:6" hidden="1" x14ac:dyDescent="0.25">
      <c r="A7026" t="s">
        <v>677</v>
      </c>
      <c r="B7026" t="s">
        <v>411</v>
      </c>
      <c r="E7026" s="3">
        <f>HYPERLINK("https://sao.dolgi.msk.ru/account/1404082529/", 1404082529)</f>
        <v>1404082529</v>
      </c>
      <c r="F7026">
        <v>-3236.73</v>
      </c>
    </row>
    <row r="7027" spans="1:6" x14ac:dyDescent="0.25">
      <c r="A7027" t="s">
        <v>677</v>
      </c>
      <c r="B7027" t="s">
        <v>429</v>
      </c>
      <c r="C7027" s="5" t="str">
        <f t="shared" ref="C7027:C7028" si="275">" кв. "&amp;B7027</f>
        <v xml:space="preserve"> кв. 411</v>
      </c>
      <c r="D7027" s="5" t="str">
        <f>CONCATENATE(A7027,C7027)</f>
        <v>Ленинградское шоссе, дом 108 кв. 411</v>
      </c>
      <c r="E7027" s="3">
        <f>HYPERLINK("https://sao.dolgi.msk.ru/account/1404083038/", 1404083038)</f>
        <v>1404083038</v>
      </c>
      <c r="F7027">
        <v>4875.25</v>
      </c>
    </row>
    <row r="7028" spans="1:6" x14ac:dyDescent="0.25">
      <c r="A7028" t="s">
        <v>677</v>
      </c>
      <c r="B7028" t="s">
        <v>430</v>
      </c>
      <c r="C7028" s="5" t="str">
        <f t="shared" si="275"/>
        <v xml:space="preserve"> кв. 412</v>
      </c>
      <c r="D7028" s="5" t="str">
        <f>CONCATENATE(A7028,C7028)</f>
        <v>Ленинградское шоссе, дом 108 кв. 412</v>
      </c>
      <c r="E7028" s="3">
        <f>HYPERLINK("https://sao.dolgi.msk.ru/account/1404086634/", 1404086634)</f>
        <v>1404086634</v>
      </c>
      <c r="F7028">
        <v>4403.3900000000003</v>
      </c>
    </row>
    <row r="7029" spans="1:6" hidden="1" x14ac:dyDescent="0.25">
      <c r="A7029" t="s">
        <v>677</v>
      </c>
      <c r="B7029" t="s">
        <v>431</v>
      </c>
      <c r="E7029" s="3">
        <f>HYPERLINK("https://sao.dolgi.msk.ru/account/1404087581/", 1404087581)</f>
        <v>1404087581</v>
      </c>
      <c r="F7029">
        <v>-1528.66</v>
      </c>
    </row>
    <row r="7030" spans="1:6" hidden="1" x14ac:dyDescent="0.25">
      <c r="A7030" t="s">
        <v>677</v>
      </c>
      <c r="B7030" t="s">
        <v>432</v>
      </c>
      <c r="E7030" s="3">
        <f>HYPERLINK("https://sao.dolgi.msk.ru/account/1404088373/", 1404088373)</f>
        <v>1404088373</v>
      </c>
      <c r="F7030">
        <v>-4673.87</v>
      </c>
    </row>
    <row r="7031" spans="1:6" hidden="1" x14ac:dyDescent="0.25">
      <c r="A7031" t="s">
        <v>677</v>
      </c>
      <c r="B7031" t="s">
        <v>433</v>
      </c>
      <c r="E7031" s="3">
        <f>HYPERLINK("https://sao.dolgi.msk.ru/account/1404086095/", 1404086095)</f>
        <v>1404086095</v>
      </c>
      <c r="F7031">
        <v>0</v>
      </c>
    </row>
    <row r="7032" spans="1:6" hidden="1" x14ac:dyDescent="0.25">
      <c r="A7032" t="s">
        <v>677</v>
      </c>
      <c r="B7032" t="s">
        <v>434</v>
      </c>
      <c r="E7032" s="3">
        <f>HYPERLINK("https://sao.dolgi.msk.ru/account/1404082588/", 1404082588)</f>
        <v>1404082588</v>
      </c>
      <c r="F7032">
        <v>-8910.36</v>
      </c>
    </row>
    <row r="7033" spans="1:6" hidden="1" x14ac:dyDescent="0.25">
      <c r="A7033" t="s">
        <v>677</v>
      </c>
      <c r="B7033" t="s">
        <v>435</v>
      </c>
      <c r="E7033" s="3">
        <f>HYPERLINK("https://sao.dolgi.msk.ru/account/1404082596/", 1404082596)</f>
        <v>1404082596</v>
      </c>
      <c r="F7033">
        <v>0</v>
      </c>
    </row>
    <row r="7034" spans="1:6" hidden="1" x14ac:dyDescent="0.25">
      <c r="A7034" t="s">
        <v>677</v>
      </c>
      <c r="B7034" t="s">
        <v>436</v>
      </c>
      <c r="E7034" s="3">
        <f>HYPERLINK("https://sao.dolgi.msk.ru/account/1404084196/", 1404084196)</f>
        <v>1404084196</v>
      </c>
      <c r="F7034">
        <v>-12099.36</v>
      </c>
    </row>
    <row r="7035" spans="1:6" hidden="1" x14ac:dyDescent="0.25">
      <c r="A7035" t="s">
        <v>677</v>
      </c>
      <c r="B7035" t="s">
        <v>437</v>
      </c>
      <c r="E7035" s="3">
        <f>HYPERLINK("https://sao.dolgi.msk.ru/account/1404085228/", 1404085228)</f>
        <v>1404085228</v>
      </c>
      <c r="F7035">
        <v>-4253.75</v>
      </c>
    </row>
    <row r="7036" spans="1:6" hidden="1" x14ac:dyDescent="0.25">
      <c r="A7036" t="s">
        <v>677</v>
      </c>
      <c r="B7036" t="s">
        <v>438</v>
      </c>
      <c r="E7036" s="3">
        <f>HYPERLINK("https://sao.dolgi.msk.ru/account/1404082457/", 1404082457)</f>
        <v>1404082457</v>
      </c>
      <c r="F7036">
        <v>-5765.63</v>
      </c>
    </row>
    <row r="7037" spans="1:6" hidden="1" x14ac:dyDescent="0.25">
      <c r="A7037" t="s">
        <v>677</v>
      </c>
      <c r="B7037" t="s">
        <v>439</v>
      </c>
      <c r="E7037" s="3">
        <f>HYPERLINK("https://sao.dolgi.msk.ru/account/1404086116/", 1404086116)</f>
        <v>1404086116</v>
      </c>
      <c r="F7037">
        <v>-2409.63</v>
      </c>
    </row>
    <row r="7038" spans="1:6" hidden="1" x14ac:dyDescent="0.25">
      <c r="A7038" t="s">
        <v>677</v>
      </c>
      <c r="B7038" t="s">
        <v>440</v>
      </c>
      <c r="E7038" s="3">
        <f>HYPERLINK("https://sao.dolgi.msk.ru/account/1404082772/", 1404082772)</f>
        <v>1404082772</v>
      </c>
      <c r="F7038">
        <v>-11017.38</v>
      </c>
    </row>
    <row r="7039" spans="1:6" x14ac:dyDescent="0.25">
      <c r="A7039" t="s">
        <v>677</v>
      </c>
      <c r="B7039" t="s">
        <v>441</v>
      </c>
      <c r="C7039" s="5" t="str">
        <f>" кв. "&amp;B7039</f>
        <v xml:space="preserve"> кв. 423</v>
      </c>
      <c r="D7039" s="5" t="str">
        <f>CONCATENATE(A7039,C7039)</f>
        <v>Ленинградское шоссе, дом 108 кв. 423</v>
      </c>
      <c r="E7039" s="3">
        <f>HYPERLINK("https://sao.dolgi.msk.ru/account/1404082967/", 1404082967)</f>
        <v>1404082967</v>
      </c>
      <c r="F7039">
        <v>4059.79</v>
      </c>
    </row>
    <row r="7040" spans="1:6" hidden="1" x14ac:dyDescent="0.25">
      <c r="A7040" t="s">
        <v>677</v>
      </c>
      <c r="B7040" t="s">
        <v>442</v>
      </c>
      <c r="E7040" s="3">
        <f>HYPERLINK("https://sao.dolgi.msk.ru/account/1404083273/", 1404083273)</f>
        <v>1404083273</v>
      </c>
      <c r="F7040">
        <v>-4202.99</v>
      </c>
    </row>
    <row r="7041" spans="1:6" hidden="1" x14ac:dyDescent="0.25">
      <c r="A7041" t="s">
        <v>677</v>
      </c>
      <c r="B7041" t="s">
        <v>443</v>
      </c>
      <c r="E7041" s="3">
        <f>HYPERLINK("https://sao.dolgi.msk.ru/account/1404085367/", 1404085367)</f>
        <v>1404085367</v>
      </c>
      <c r="F7041">
        <v>-386.2</v>
      </c>
    </row>
    <row r="7042" spans="1:6" hidden="1" x14ac:dyDescent="0.25">
      <c r="A7042" t="s">
        <v>677</v>
      </c>
      <c r="B7042" t="s">
        <v>444</v>
      </c>
      <c r="E7042" s="3">
        <f>HYPERLINK("https://sao.dolgi.msk.ru/account/1404083951/", 1404083951)</f>
        <v>1404083951</v>
      </c>
      <c r="F7042">
        <v>-3850.8</v>
      </c>
    </row>
    <row r="7043" spans="1:6" hidden="1" x14ac:dyDescent="0.25">
      <c r="A7043" t="s">
        <v>677</v>
      </c>
      <c r="B7043" t="s">
        <v>445</v>
      </c>
      <c r="E7043" s="3">
        <f>HYPERLINK("https://sao.dolgi.msk.ru/account/1404086589/", 1404086589)</f>
        <v>1404086589</v>
      </c>
      <c r="F7043">
        <v>-4739.12</v>
      </c>
    </row>
    <row r="7044" spans="1:6" hidden="1" x14ac:dyDescent="0.25">
      <c r="A7044" t="s">
        <v>678</v>
      </c>
      <c r="B7044" t="s">
        <v>5</v>
      </c>
      <c r="E7044" s="3">
        <f>HYPERLINK("https://sao.dolgi.msk.ru/account/1404259785/", 1404259785)</f>
        <v>1404259785</v>
      </c>
      <c r="F7044">
        <v>0</v>
      </c>
    </row>
    <row r="7045" spans="1:6" hidden="1" x14ac:dyDescent="0.25">
      <c r="A7045" t="s">
        <v>678</v>
      </c>
      <c r="B7045" t="s">
        <v>6</v>
      </c>
      <c r="E7045" s="3">
        <f>HYPERLINK("https://sao.dolgi.msk.ru/account/1404259662/", 1404259662)</f>
        <v>1404259662</v>
      </c>
      <c r="F7045">
        <v>-1466.93</v>
      </c>
    </row>
    <row r="7046" spans="1:6" hidden="1" x14ac:dyDescent="0.25">
      <c r="A7046" t="s">
        <v>678</v>
      </c>
      <c r="B7046" t="s">
        <v>7</v>
      </c>
      <c r="E7046" s="3">
        <f>HYPERLINK("https://sao.dolgi.msk.ru/account/1404260241/", 1404260241)</f>
        <v>1404260241</v>
      </c>
      <c r="F7046">
        <v>-1462.82</v>
      </c>
    </row>
    <row r="7047" spans="1:6" x14ac:dyDescent="0.25">
      <c r="A7047" t="s">
        <v>678</v>
      </c>
      <c r="B7047" t="s">
        <v>8</v>
      </c>
      <c r="C7047" s="5" t="str">
        <f>" кв. "&amp;B7047</f>
        <v xml:space="preserve"> кв. 4</v>
      </c>
      <c r="D7047" s="5" t="str">
        <f>CONCATENATE(A7047,C7047)</f>
        <v>Ленинградское шоссе, дом 108 к.1 кв. 4</v>
      </c>
      <c r="E7047" s="3">
        <f>HYPERLINK("https://sao.dolgi.msk.ru/account/1404258715/", 1404258715)</f>
        <v>1404258715</v>
      </c>
      <c r="F7047">
        <v>927.5</v>
      </c>
    </row>
    <row r="7048" spans="1:6" hidden="1" x14ac:dyDescent="0.25">
      <c r="A7048" t="s">
        <v>678</v>
      </c>
      <c r="B7048" t="s">
        <v>9</v>
      </c>
      <c r="E7048" s="3">
        <f>HYPERLINK("https://sao.dolgi.msk.ru/account/1404258993/", 1404258993)</f>
        <v>1404258993</v>
      </c>
      <c r="F7048">
        <v>-2249.41</v>
      </c>
    </row>
    <row r="7049" spans="1:6" hidden="1" x14ac:dyDescent="0.25">
      <c r="A7049" t="s">
        <v>678</v>
      </c>
      <c r="B7049" t="s">
        <v>10</v>
      </c>
      <c r="E7049" s="3">
        <f>HYPERLINK("https://sao.dolgi.msk.ru/account/1404259873/", 1404259873)</f>
        <v>1404259873</v>
      </c>
      <c r="F7049">
        <v>-1474.03</v>
      </c>
    </row>
    <row r="7050" spans="1:6" x14ac:dyDescent="0.25">
      <c r="A7050" t="s">
        <v>678</v>
      </c>
      <c r="B7050" t="s">
        <v>11</v>
      </c>
      <c r="C7050" s="5" t="str">
        <f>" кв. "&amp;B7050</f>
        <v xml:space="preserve"> кв. 7</v>
      </c>
      <c r="D7050" s="5" t="str">
        <f>CONCATENATE(A7050,C7050)</f>
        <v>Ленинградское шоссе, дом 108 к.1 кв. 7</v>
      </c>
      <c r="E7050" s="3">
        <f>HYPERLINK("https://sao.dolgi.msk.ru/account/1404260161/", 1404260161)</f>
        <v>1404260161</v>
      </c>
      <c r="F7050">
        <v>1698.53</v>
      </c>
    </row>
    <row r="7051" spans="1:6" hidden="1" x14ac:dyDescent="0.25">
      <c r="A7051" t="s">
        <v>678</v>
      </c>
      <c r="B7051" t="s">
        <v>12</v>
      </c>
      <c r="E7051" s="3">
        <f>HYPERLINK("https://sao.dolgi.msk.ru/account/1404259427/", 1404259427)</f>
        <v>1404259427</v>
      </c>
      <c r="F7051">
        <v>-3448.06</v>
      </c>
    </row>
    <row r="7052" spans="1:6" hidden="1" x14ac:dyDescent="0.25">
      <c r="A7052" t="s">
        <v>678</v>
      </c>
      <c r="B7052" t="s">
        <v>13</v>
      </c>
      <c r="E7052" s="3">
        <f>HYPERLINK("https://sao.dolgi.msk.ru/account/1404258504/", 1404258504)</f>
        <v>1404258504</v>
      </c>
      <c r="F7052">
        <v>-2297.85</v>
      </c>
    </row>
    <row r="7053" spans="1:6" x14ac:dyDescent="0.25">
      <c r="A7053" t="s">
        <v>678</v>
      </c>
      <c r="B7053" t="s">
        <v>14</v>
      </c>
      <c r="C7053" s="5" t="str">
        <f>" кв. "&amp;B7053</f>
        <v xml:space="preserve"> кв. 10</v>
      </c>
      <c r="D7053" s="5" t="str">
        <f>CONCATENATE(A7053,C7053)</f>
        <v>Ленинградское шоссе, дом 108 к.1 кв. 10</v>
      </c>
      <c r="E7053" s="3">
        <f>HYPERLINK("https://sao.dolgi.msk.ru/account/1404259793/", 1404259793)</f>
        <v>1404259793</v>
      </c>
      <c r="F7053">
        <v>1689.04</v>
      </c>
    </row>
    <row r="7054" spans="1:6" hidden="1" x14ac:dyDescent="0.25">
      <c r="A7054" t="s">
        <v>678</v>
      </c>
      <c r="B7054" t="s">
        <v>15</v>
      </c>
      <c r="E7054" s="3">
        <f>HYPERLINK("https://sao.dolgi.msk.ru/account/1404258942/", 1404258942)</f>
        <v>1404258942</v>
      </c>
      <c r="F7054">
        <v>0</v>
      </c>
    </row>
    <row r="7055" spans="1:6" hidden="1" x14ac:dyDescent="0.25">
      <c r="A7055" t="s">
        <v>678</v>
      </c>
      <c r="B7055" t="s">
        <v>16</v>
      </c>
      <c r="E7055" s="3">
        <f>HYPERLINK("https://sao.dolgi.msk.ru/account/1404259654/", 1404259654)</f>
        <v>1404259654</v>
      </c>
      <c r="F7055">
        <v>0</v>
      </c>
    </row>
    <row r="7056" spans="1:6" hidden="1" x14ac:dyDescent="0.25">
      <c r="A7056" t="s">
        <v>678</v>
      </c>
      <c r="B7056" t="s">
        <v>17</v>
      </c>
      <c r="E7056" s="3">
        <f>HYPERLINK("https://sao.dolgi.msk.ru/account/1404258184/", 1404258184)</f>
        <v>1404258184</v>
      </c>
      <c r="F7056">
        <v>-2845.45</v>
      </c>
    </row>
    <row r="7057" spans="1:6" hidden="1" x14ac:dyDescent="0.25">
      <c r="A7057" t="s">
        <v>678</v>
      </c>
      <c r="B7057" t="s">
        <v>18</v>
      </c>
      <c r="E7057" s="3">
        <f>HYPERLINK("https://sao.dolgi.msk.ru/account/1404259777/", 1404259777)</f>
        <v>1404259777</v>
      </c>
      <c r="F7057">
        <v>-2472.81</v>
      </c>
    </row>
    <row r="7058" spans="1:6" hidden="1" x14ac:dyDescent="0.25">
      <c r="A7058" t="s">
        <v>678</v>
      </c>
      <c r="B7058" t="s">
        <v>19</v>
      </c>
      <c r="E7058" s="3">
        <f>HYPERLINK("https://sao.dolgi.msk.ru/account/1404259515/", 1404259515)</f>
        <v>1404259515</v>
      </c>
      <c r="F7058">
        <v>-1710.17</v>
      </c>
    </row>
    <row r="7059" spans="1:6" hidden="1" x14ac:dyDescent="0.25">
      <c r="A7059" t="s">
        <v>678</v>
      </c>
      <c r="B7059" t="s">
        <v>20</v>
      </c>
      <c r="E7059" s="3">
        <f>HYPERLINK("https://sao.dolgi.msk.ru/account/1404258168/", 1404258168)</f>
        <v>1404258168</v>
      </c>
      <c r="F7059">
        <v>0</v>
      </c>
    </row>
    <row r="7060" spans="1:6" hidden="1" x14ac:dyDescent="0.25">
      <c r="A7060" t="s">
        <v>678</v>
      </c>
      <c r="B7060" t="s">
        <v>21</v>
      </c>
      <c r="E7060" s="3">
        <f>HYPERLINK("https://sao.dolgi.msk.ru/account/1404259881/", 1404259881)</f>
        <v>1404259881</v>
      </c>
      <c r="F7060">
        <v>-1702.87</v>
      </c>
    </row>
    <row r="7061" spans="1:6" x14ac:dyDescent="0.25">
      <c r="A7061" t="s">
        <v>678</v>
      </c>
      <c r="B7061" t="s">
        <v>22</v>
      </c>
      <c r="C7061" s="5" t="str">
        <f>" кв. "&amp;B7061</f>
        <v xml:space="preserve"> кв. 18</v>
      </c>
      <c r="D7061" s="5" t="str">
        <f>CONCATENATE(A7061,C7061)</f>
        <v>Ленинградское шоссе, дом 108 к.1 кв. 18</v>
      </c>
      <c r="E7061" s="3">
        <f>HYPERLINK("https://sao.dolgi.msk.ru/account/1404258344/", 1404258344)</f>
        <v>1404258344</v>
      </c>
      <c r="F7061">
        <v>1413</v>
      </c>
    </row>
    <row r="7062" spans="1:6" hidden="1" x14ac:dyDescent="0.25">
      <c r="A7062" t="s">
        <v>678</v>
      </c>
      <c r="B7062" t="s">
        <v>23</v>
      </c>
      <c r="E7062" s="3">
        <f>HYPERLINK("https://sao.dolgi.msk.ru/account/1404258547/", 1404258547)</f>
        <v>1404258547</v>
      </c>
      <c r="F7062">
        <v>0</v>
      </c>
    </row>
    <row r="7063" spans="1:6" hidden="1" x14ac:dyDescent="0.25">
      <c r="A7063" t="s">
        <v>678</v>
      </c>
      <c r="B7063" t="s">
        <v>24</v>
      </c>
      <c r="E7063" s="3">
        <f>HYPERLINK("https://sao.dolgi.msk.ru/account/1404259312/", 1404259312)</f>
        <v>1404259312</v>
      </c>
      <c r="F7063">
        <v>-1724.02</v>
      </c>
    </row>
    <row r="7064" spans="1:6" x14ac:dyDescent="0.25">
      <c r="A7064" t="s">
        <v>678</v>
      </c>
      <c r="B7064" t="s">
        <v>25</v>
      </c>
      <c r="C7064" s="5" t="str">
        <f t="shared" ref="C7064:C7065" si="276">" кв. "&amp;B7064</f>
        <v xml:space="preserve"> кв. 21</v>
      </c>
      <c r="D7064" s="5" t="str">
        <f>CONCATENATE(A7064,C7064)</f>
        <v>Ленинградское шоссе, дом 108 к.1 кв. 21</v>
      </c>
      <c r="E7064" s="3">
        <f>HYPERLINK("https://sao.dolgi.msk.ru/account/1404259099/", 1404259099)</f>
        <v>1404259099</v>
      </c>
      <c r="F7064">
        <v>2365.92</v>
      </c>
    </row>
    <row r="7065" spans="1:6" x14ac:dyDescent="0.25">
      <c r="A7065" t="s">
        <v>678</v>
      </c>
      <c r="B7065" t="s">
        <v>26</v>
      </c>
      <c r="C7065" s="5" t="str">
        <f t="shared" si="276"/>
        <v xml:space="preserve"> кв. 22</v>
      </c>
      <c r="D7065" s="5" t="str">
        <f>CONCATENATE(A7065,C7065)</f>
        <v>Ленинградское шоссе, дом 108 к.1 кв. 22</v>
      </c>
      <c r="E7065" s="3">
        <f>HYPERLINK("https://sao.dolgi.msk.ru/account/1404259339/", 1404259339)</f>
        <v>1404259339</v>
      </c>
      <c r="F7065">
        <v>1689.04</v>
      </c>
    </row>
    <row r="7066" spans="1:6" hidden="1" x14ac:dyDescent="0.25">
      <c r="A7066" t="s">
        <v>678</v>
      </c>
      <c r="B7066" t="s">
        <v>27</v>
      </c>
      <c r="E7066" s="3">
        <f>HYPERLINK("https://sao.dolgi.msk.ru/account/1404258176/", 1404258176)</f>
        <v>1404258176</v>
      </c>
      <c r="F7066">
        <v>0</v>
      </c>
    </row>
    <row r="7067" spans="1:6" hidden="1" x14ac:dyDescent="0.25">
      <c r="A7067" t="s">
        <v>678</v>
      </c>
      <c r="B7067" t="s">
        <v>28</v>
      </c>
      <c r="E7067" s="3">
        <f>HYPERLINK("https://sao.dolgi.msk.ru/account/1404258678/", 1404258678)</f>
        <v>1404258678</v>
      </c>
      <c r="F7067">
        <v>0</v>
      </c>
    </row>
    <row r="7068" spans="1:6" x14ac:dyDescent="0.25">
      <c r="A7068" t="s">
        <v>678</v>
      </c>
      <c r="B7068" t="s">
        <v>29</v>
      </c>
      <c r="C7068" s="5" t="str">
        <f>" кв. "&amp;B7068</f>
        <v xml:space="preserve"> кв. 25</v>
      </c>
      <c r="D7068" s="5" t="str">
        <f>CONCATENATE(A7068,C7068)</f>
        <v>Ленинградское шоссе, дом 108 к.1 кв. 25</v>
      </c>
      <c r="E7068" s="3">
        <f>HYPERLINK("https://sao.dolgi.msk.ru/account/1404259902/", 1404259902)</f>
        <v>1404259902</v>
      </c>
      <c r="F7068">
        <v>2365.92</v>
      </c>
    </row>
    <row r="7069" spans="1:6" hidden="1" x14ac:dyDescent="0.25">
      <c r="A7069" t="s">
        <v>678</v>
      </c>
      <c r="B7069" t="s">
        <v>30</v>
      </c>
      <c r="E7069" s="3">
        <f>HYPERLINK("https://sao.dolgi.msk.ru/account/1404259689/", 1404259689)</f>
        <v>1404259689</v>
      </c>
      <c r="F7069">
        <v>-2082.5100000000002</v>
      </c>
    </row>
    <row r="7070" spans="1:6" hidden="1" x14ac:dyDescent="0.25">
      <c r="A7070" t="s">
        <v>678</v>
      </c>
      <c r="B7070" t="s">
        <v>31</v>
      </c>
      <c r="E7070" s="3">
        <f>HYPERLINK("https://sao.dolgi.msk.ru/account/1404259101/", 1404259101)</f>
        <v>1404259101</v>
      </c>
      <c r="F7070">
        <v>0</v>
      </c>
    </row>
    <row r="7071" spans="1:6" hidden="1" x14ac:dyDescent="0.25">
      <c r="A7071" t="s">
        <v>678</v>
      </c>
      <c r="B7071" t="s">
        <v>32</v>
      </c>
      <c r="E7071" s="3">
        <f>HYPERLINK("https://sao.dolgi.msk.ru/account/1404258811/", 1404258811)</f>
        <v>1404258811</v>
      </c>
      <c r="F7071">
        <v>-3545.12</v>
      </c>
    </row>
    <row r="7072" spans="1:6" hidden="1" x14ac:dyDescent="0.25">
      <c r="A7072" t="s">
        <v>678</v>
      </c>
      <c r="B7072" t="s">
        <v>33</v>
      </c>
      <c r="E7072" s="3">
        <f>HYPERLINK("https://sao.dolgi.msk.ru/account/1404258838/", 1404258838)</f>
        <v>1404258838</v>
      </c>
      <c r="F7072">
        <v>0</v>
      </c>
    </row>
    <row r="7073" spans="1:6" hidden="1" x14ac:dyDescent="0.25">
      <c r="A7073" t="s">
        <v>678</v>
      </c>
      <c r="B7073" t="s">
        <v>34</v>
      </c>
      <c r="E7073" s="3">
        <f>HYPERLINK("https://sao.dolgi.msk.ru/account/1404258846/", 1404258846)</f>
        <v>1404258846</v>
      </c>
      <c r="F7073">
        <v>-2472.81</v>
      </c>
    </row>
    <row r="7074" spans="1:6" hidden="1" x14ac:dyDescent="0.25">
      <c r="A7074" t="s">
        <v>678</v>
      </c>
      <c r="B7074" t="s">
        <v>35</v>
      </c>
      <c r="E7074" s="3">
        <f>HYPERLINK("https://sao.dolgi.msk.ru/account/1404259929/", 1404259929)</f>
        <v>1404259929</v>
      </c>
      <c r="F7074">
        <v>-2472.81</v>
      </c>
    </row>
    <row r="7075" spans="1:6" hidden="1" x14ac:dyDescent="0.25">
      <c r="A7075" t="s">
        <v>678</v>
      </c>
      <c r="B7075" t="s">
        <v>36</v>
      </c>
      <c r="E7075" s="3">
        <f>HYPERLINK("https://sao.dolgi.msk.ru/account/1404258432/", 1404258432)</f>
        <v>1404258432</v>
      </c>
      <c r="F7075">
        <v>-3461.93</v>
      </c>
    </row>
    <row r="7076" spans="1:6" hidden="1" x14ac:dyDescent="0.25">
      <c r="A7076" t="s">
        <v>678</v>
      </c>
      <c r="B7076" t="s">
        <v>37</v>
      </c>
      <c r="E7076" s="3">
        <f>HYPERLINK("https://sao.dolgi.msk.ru/account/1404259128/", 1404259128)</f>
        <v>1404259128</v>
      </c>
      <c r="F7076">
        <v>-3457.3</v>
      </c>
    </row>
    <row r="7077" spans="1:6" x14ac:dyDescent="0.25">
      <c r="A7077" t="s">
        <v>678</v>
      </c>
      <c r="B7077" t="s">
        <v>38</v>
      </c>
      <c r="C7077" s="5" t="str">
        <f>" кв. "&amp;B7077</f>
        <v xml:space="preserve"> кв. 34</v>
      </c>
      <c r="D7077" s="5" t="str">
        <f>CONCATENATE(A7077,C7077)</f>
        <v>Ленинградское шоссе, дом 108 к.1 кв. 34</v>
      </c>
      <c r="E7077" s="3">
        <f>HYPERLINK("https://sao.dolgi.msk.ru/account/1404259224/", 1404259224)</f>
        <v>1404259224</v>
      </c>
      <c r="F7077">
        <v>847.69</v>
      </c>
    </row>
    <row r="7078" spans="1:6" hidden="1" x14ac:dyDescent="0.25">
      <c r="A7078" t="s">
        <v>678</v>
      </c>
      <c r="B7078" t="s">
        <v>39</v>
      </c>
      <c r="E7078" s="3">
        <f>HYPERLINK("https://sao.dolgi.msk.ru/account/1404258766/", 1404258766)</f>
        <v>1404258766</v>
      </c>
      <c r="F7078">
        <v>-2468.1799999999998</v>
      </c>
    </row>
    <row r="7079" spans="1:6" hidden="1" x14ac:dyDescent="0.25">
      <c r="A7079" t="s">
        <v>678</v>
      </c>
      <c r="B7079" t="s">
        <v>40</v>
      </c>
      <c r="E7079" s="3">
        <f>HYPERLINK("https://sao.dolgi.msk.ru/account/1404258774/", 1404258774)</f>
        <v>1404258774</v>
      </c>
      <c r="F7079">
        <v>-3531.25</v>
      </c>
    </row>
    <row r="7080" spans="1:6" hidden="1" x14ac:dyDescent="0.25">
      <c r="A7080" t="s">
        <v>678</v>
      </c>
      <c r="B7080" t="s">
        <v>41</v>
      </c>
      <c r="E7080" s="3">
        <f>HYPERLINK("https://sao.dolgi.msk.ru/account/1404258379/", 1404258379)</f>
        <v>1404258379</v>
      </c>
      <c r="F7080">
        <v>-2556.96</v>
      </c>
    </row>
    <row r="7081" spans="1:6" hidden="1" x14ac:dyDescent="0.25">
      <c r="A7081" t="s">
        <v>678</v>
      </c>
      <c r="B7081" t="s">
        <v>42</v>
      </c>
      <c r="E7081" s="3">
        <f>HYPERLINK("https://sao.dolgi.msk.ru/account/1404259267/", 1404259267)</f>
        <v>1404259267</v>
      </c>
      <c r="F7081">
        <v>-2477.4299999999998</v>
      </c>
    </row>
    <row r="7082" spans="1:6" hidden="1" x14ac:dyDescent="0.25">
      <c r="A7082" t="s">
        <v>678</v>
      </c>
      <c r="B7082" t="s">
        <v>43</v>
      </c>
      <c r="E7082" s="3">
        <f>HYPERLINK("https://sao.dolgi.msk.ru/account/1404260209/", 1404260209)</f>
        <v>1404260209</v>
      </c>
      <c r="F7082">
        <v>-1560.61</v>
      </c>
    </row>
    <row r="7083" spans="1:6" hidden="1" x14ac:dyDescent="0.25">
      <c r="A7083" t="s">
        <v>678</v>
      </c>
      <c r="B7083" t="s">
        <v>44</v>
      </c>
      <c r="E7083" s="3">
        <f>HYPERLINK("https://sao.dolgi.msk.ru/account/1404260217/", 1404260217)</f>
        <v>1404260217</v>
      </c>
      <c r="F7083">
        <v>0</v>
      </c>
    </row>
    <row r="7084" spans="1:6" x14ac:dyDescent="0.25">
      <c r="A7084" t="s">
        <v>678</v>
      </c>
      <c r="B7084" t="s">
        <v>45</v>
      </c>
      <c r="C7084" s="5" t="str">
        <f>" кв. "&amp;B7084</f>
        <v xml:space="preserve"> кв. 41</v>
      </c>
      <c r="D7084" s="5" t="str">
        <f>CONCATENATE(A7084,C7084)</f>
        <v>Ленинградское шоссе, дом 108 к.1 кв. 41</v>
      </c>
      <c r="E7084" s="3">
        <f>HYPERLINK("https://sao.dolgi.msk.ru/account/1404259275/", 1404259275)</f>
        <v>1404259275</v>
      </c>
      <c r="F7084">
        <v>2362.7600000000002</v>
      </c>
    </row>
    <row r="7085" spans="1:6" hidden="1" x14ac:dyDescent="0.25">
      <c r="A7085" t="s">
        <v>678</v>
      </c>
      <c r="B7085" t="s">
        <v>46</v>
      </c>
      <c r="E7085" s="3">
        <f>HYPERLINK("https://sao.dolgi.msk.ru/account/1404259056/", 1404259056)</f>
        <v>1404259056</v>
      </c>
      <c r="F7085">
        <v>-2086.39</v>
      </c>
    </row>
    <row r="7086" spans="1:6" x14ac:dyDescent="0.25">
      <c r="A7086" t="s">
        <v>678</v>
      </c>
      <c r="B7086" t="s">
        <v>47</v>
      </c>
      <c r="C7086" s="5" t="str">
        <f>" кв. "&amp;B7086</f>
        <v xml:space="preserve"> кв. 43</v>
      </c>
      <c r="D7086" s="5" t="str">
        <f>CONCATENATE(A7086,C7086)</f>
        <v>Ленинградское шоссе, дом 108 к.1 кв. 43</v>
      </c>
      <c r="E7086" s="3">
        <f>HYPERLINK("https://sao.dolgi.msk.ru/account/1404258133/", 1404258133)</f>
        <v>1404258133</v>
      </c>
      <c r="F7086">
        <v>1689.04</v>
      </c>
    </row>
    <row r="7087" spans="1:6" hidden="1" x14ac:dyDescent="0.25">
      <c r="A7087" t="s">
        <v>678</v>
      </c>
      <c r="B7087" t="s">
        <v>48</v>
      </c>
      <c r="E7087" s="3">
        <f>HYPERLINK("https://sao.dolgi.msk.ru/account/1404259646/", 1404259646)</f>
        <v>1404259646</v>
      </c>
      <c r="F7087">
        <v>-2658.83</v>
      </c>
    </row>
    <row r="7088" spans="1:6" hidden="1" x14ac:dyDescent="0.25">
      <c r="A7088" t="s">
        <v>678</v>
      </c>
      <c r="B7088" t="s">
        <v>49</v>
      </c>
      <c r="E7088" s="3">
        <f>HYPERLINK("https://sao.dolgi.msk.ru/account/1404258117/", 1404258117)</f>
        <v>1404258117</v>
      </c>
      <c r="F7088">
        <v>0</v>
      </c>
    </row>
    <row r="7089" spans="1:6" hidden="1" x14ac:dyDescent="0.25">
      <c r="A7089" t="s">
        <v>678</v>
      </c>
      <c r="B7089" t="s">
        <v>49</v>
      </c>
      <c r="E7089" s="3">
        <f>HYPERLINK("https://sao.dolgi.msk.ru/account/1404259013/", 1404259013)</f>
        <v>1404259013</v>
      </c>
      <c r="F7089">
        <v>0</v>
      </c>
    </row>
    <row r="7090" spans="1:6" x14ac:dyDescent="0.25">
      <c r="A7090" t="s">
        <v>678</v>
      </c>
      <c r="B7090" t="s">
        <v>50</v>
      </c>
      <c r="C7090" s="5" t="str">
        <f t="shared" ref="C7090:C7091" si="277">" кв. "&amp;B7090</f>
        <v xml:space="preserve"> кв. 46</v>
      </c>
      <c r="D7090" s="5" t="str">
        <f>CONCATENATE(A7090,C7090)</f>
        <v>Ленинградское шоссе, дом 108 к.1 кв. 46</v>
      </c>
      <c r="E7090" s="3">
        <f>HYPERLINK("https://sao.dolgi.msk.ru/account/1404258125/", 1404258125)</f>
        <v>1404258125</v>
      </c>
      <c r="F7090">
        <v>1695.37</v>
      </c>
    </row>
    <row r="7091" spans="1:6" x14ac:dyDescent="0.25">
      <c r="A7091" t="s">
        <v>678</v>
      </c>
      <c r="B7091" t="s">
        <v>51</v>
      </c>
      <c r="C7091" s="5" t="str">
        <f t="shared" si="277"/>
        <v xml:space="preserve"> кв. 47</v>
      </c>
      <c r="D7091" s="5" t="str">
        <f>CONCATENATE(A7091,C7091)</f>
        <v>Ленинградское шоссе, дом 108 к.1 кв. 47</v>
      </c>
      <c r="E7091" s="3">
        <f>HYPERLINK("https://sao.dolgi.msk.ru/account/1404259822/", 1404259822)</f>
        <v>1404259822</v>
      </c>
      <c r="F7091">
        <v>1695.37</v>
      </c>
    </row>
    <row r="7092" spans="1:6" hidden="1" x14ac:dyDescent="0.25">
      <c r="A7092" t="s">
        <v>678</v>
      </c>
      <c r="B7092" t="s">
        <v>52</v>
      </c>
      <c r="E7092" s="3">
        <f>HYPERLINK("https://sao.dolgi.msk.ru/account/1404260006/", 1404260006)</f>
        <v>1404260006</v>
      </c>
      <c r="F7092">
        <v>-3535.88</v>
      </c>
    </row>
    <row r="7093" spans="1:6" hidden="1" x14ac:dyDescent="0.25">
      <c r="A7093" t="s">
        <v>678</v>
      </c>
      <c r="B7093" t="s">
        <v>53</v>
      </c>
      <c r="E7093" s="3">
        <f>HYPERLINK("https://sao.dolgi.msk.ru/account/1404259603/", 1404259603)</f>
        <v>1404259603</v>
      </c>
      <c r="F7093">
        <v>-3457.3</v>
      </c>
    </row>
    <row r="7094" spans="1:6" hidden="1" x14ac:dyDescent="0.25">
      <c r="A7094" t="s">
        <v>678</v>
      </c>
      <c r="B7094" t="s">
        <v>54</v>
      </c>
      <c r="E7094" s="3">
        <f>HYPERLINK("https://sao.dolgi.msk.ru/account/1404259494/", 1404259494)</f>
        <v>1404259494</v>
      </c>
      <c r="F7094">
        <v>0</v>
      </c>
    </row>
    <row r="7095" spans="1:6" hidden="1" x14ac:dyDescent="0.25">
      <c r="A7095" t="s">
        <v>678</v>
      </c>
      <c r="B7095" t="s">
        <v>55</v>
      </c>
      <c r="E7095" s="3">
        <f>HYPERLINK("https://sao.dolgi.msk.ru/account/1404259849/", 1404259849)</f>
        <v>1404259849</v>
      </c>
      <c r="F7095">
        <v>-2472.81</v>
      </c>
    </row>
    <row r="7096" spans="1:6" hidden="1" x14ac:dyDescent="0.25">
      <c r="A7096" t="s">
        <v>678</v>
      </c>
      <c r="B7096" t="s">
        <v>56</v>
      </c>
      <c r="E7096" s="3">
        <f>HYPERLINK("https://sao.dolgi.msk.ru/account/1404258643/", 1404258643)</f>
        <v>1404258643</v>
      </c>
      <c r="F7096">
        <v>-2459.7800000000002</v>
      </c>
    </row>
    <row r="7097" spans="1:6" hidden="1" x14ac:dyDescent="0.25">
      <c r="A7097" t="s">
        <v>678</v>
      </c>
      <c r="B7097" t="s">
        <v>57</v>
      </c>
      <c r="E7097" s="3">
        <f>HYPERLINK("https://sao.dolgi.msk.ru/account/1404259857/", 1404259857)</f>
        <v>1404259857</v>
      </c>
      <c r="F7097">
        <v>-2596.46</v>
      </c>
    </row>
    <row r="7098" spans="1:6" hidden="1" x14ac:dyDescent="0.25">
      <c r="A7098" t="s">
        <v>678</v>
      </c>
      <c r="B7098" t="s">
        <v>57</v>
      </c>
      <c r="E7098" s="3">
        <f>HYPERLINK("https://sao.dolgi.msk.ru/account/1404260428/", 1404260428)</f>
        <v>1404260428</v>
      </c>
      <c r="F7098">
        <v>-865.49</v>
      </c>
    </row>
    <row r="7099" spans="1:6" hidden="1" x14ac:dyDescent="0.25">
      <c r="A7099" t="s">
        <v>678</v>
      </c>
      <c r="B7099" t="s">
        <v>58</v>
      </c>
      <c r="E7099" s="3">
        <f>HYPERLINK("https://sao.dolgi.msk.ru/account/1404260137/", 1404260137)</f>
        <v>1404260137</v>
      </c>
      <c r="F7099">
        <v>-1567.84</v>
      </c>
    </row>
    <row r="7100" spans="1:6" hidden="1" x14ac:dyDescent="0.25">
      <c r="A7100" t="s">
        <v>678</v>
      </c>
      <c r="B7100" t="s">
        <v>59</v>
      </c>
      <c r="E7100" s="3">
        <f>HYPERLINK("https://sao.dolgi.msk.ru/account/1404259208/", 1404259208)</f>
        <v>1404259208</v>
      </c>
      <c r="F7100">
        <v>-2477.4299999999998</v>
      </c>
    </row>
    <row r="7101" spans="1:6" hidden="1" x14ac:dyDescent="0.25">
      <c r="A7101" t="s">
        <v>678</v>
      </c>
      <c r="B7101" t="s">
        <v>60</v>
      </c>
      <c r="E7101" s="3">
        <f>HYPERLINK("https://sao.dolgi.msk.ru/account/1404259865/", 1404259865)</f>
        <v>1404259865</v>
      </c>
      <c r="F7101">
        <v>-3545.12</v>
      </c>
    </row>
    <row r="7102" spans="1:6" hidden="1" x14ac:dyDescent="0.25">
      <c r="A7102" t="s">
        <v>678</v>
      </c>
      <c r="B7102" t="s">
        <v>61</v>
      </c>
      <c r="E7102" s="3">
        <f>HYPERLINK("https://sao.dolgi.msk.ru/account/1404259996/", 1404259996)</f>
        <v>1404259996</v>
      </c>
      <c r="F7102">
        <v>-3452.68</v>
      </c>
    </row>
    <row r="7103" spans="1:6" hidden="1" x14ac:dyDescent="0.25">
      <c r="A7103" t="s">
        <v>678</v>
      </c>
      <c r="B7103" t="s">
        <v>62</v>
      </c>
      <c r="E7103" s="3">
        <f>HYPERLINK("https://sao.dolgi.msk.ru/account/1404258248/", 1404258248)</f>
        <v>1404258248</v>
      </c>
      <c r="F7103">
        <v>-2477.4299999999998</v>
      </c>
    </row>
    <row r="7104" spans="1:6" hidden="1" x14ac:dyDescent="0.25">
      <c r="A7104" t="s">
        <v>678</v>
      </c>
      <c r="B7104" t="s">
        <v>63</v>
      </c>
      <c r="E7104" s="3">
        <f>HYPERLINK("https://sao.dolgi.msk.ru/account/1404259216/", 1404259216)</f>
        <v>1404259216</v>
      </c>
      <c r="F7104">
        <v>-2477.4299999999998</v>
      </c>
    </row>
    <row r="7105" spans="1:6" hidden="1" x14ac:dyDescent="0.25">
      <c r="A7105" t="s">
        <v>678</v>
      </c>
      <c r="B7105" t="s">
        <v>64</v>
      </c>
      <c r="E7105" s="3">
        <f>HYPERLINK("https://sao.dolgi.msk.ru/account/1404258651/", 1404258651)</f>
        <v>1404258651</v>
      </c>
      <c r="F7105">
        <v>0</v>
      </c>
    </row>
    <row r="7106" spans="1:6" hidden="1" x14ac:dyDescent="0.25">
      <c r="A7106" t="s">
        <v>678</v>
      </c>
      <c r="B7106" t="s">
        <v>65</v>
      </c>
      <c r="E7106" s="3">
        <f>HYPERLINK("https://sao.dolgi.msk.ru/account/1404258301/", 1404258301)</f>
        <v>1404258301</v>
      </c>
      <c r="F7106">
        <v>-3457.3</v>
      </c>
    </row>
    <row r="7107" spans="1:6" hidden="1" x14ac:dyDescent="0.25">
      <c r="A7107" t="s">
        <v>678</v>
      </c>
      <c r="B7107" t="s">
        <v>66</v>
      </c>
      <c r="E7107" s="3">
        <f>HYPERLINK("https://sao.dolgi.msk.ru/account/1404260153/", 1404260153)</f>
        <v>1404260153</v>
      </c>
      <c r="F7107">
        <v>0</v>
      </c>
    </row>
    <row r="7108" spans="1:6" hidden="1" x14ac:dyDescent="0.25">
      <c r="A7108" t="s">
        <v>678</v>
      </c>
      <c r="B7108" t="s">
        <v>67</v>
      </c>
      <c r="E7108" s="3">
        <f>HYPERLINK("https://sao.dolgi.msk.ru/account/1404259742/", 1404259742)</f>
        <v>1404259742</v>
      </c>
      <c r="F7108">
        <v>0</v>
      </c>
    </row>
    <row r="7109" spans="1:6" hidden="1" x14ac:dyDescent="0.25">
      <c r="A7109" t="s">
        <v>678</v>
      </c>
      <c r="B7109" t="s">
        <v>68</v>
      </c>
      <c r="E7109" s="3">
        <f>HYPERLINK("https://sao.dolgi.msk.ru/account/1404259523/", 1404259523)</f>
        <v>1404259523</v>
      </c>
      <c r="F7109">
        <v>0</v>
      </c>
    </row>
    <row r="7110" spans="1:6" hidden="1" x14ac:dyDescent="0.25">
      <c r="A7110" t="s">
        <v>678</v>
      </c>
      <c r="B7110" t="s">
        <v>69</v>
      </c>
      <c r="E7110" s="3">
        <f>HYPERLINK("https://sao.dolgi.msk.ru/account/1404259769/", 1404259769)</f>
        <v>1404259769</v>
      </c>
      <c r="F7110">
        <v>-2975.8</v>
      </c>
    </row>
    <row r="7111" spans="1:6" hidden="1" x14ac:dyDescent="0.25">
      <c r="A7111" t="s">
        <v>678</v>
      </c>
      <c r="B7111" t="s">
        <v>70</v>
      </c>
      <c r="E7111" s="3">
        <f>HYPERLINK("https://sao.dolgi.msk.ru/account/1404258387/", 1404258387)</f>
        <v>1404258387</v>
      </c>
      <c r="F7111">
        <v>-1567.84</v>
      </c>
    </row>
    <row r="7112" spans="1:6" hidden="1" x14ac:dyDescent="0.25">
      <c r="A7112" t="s">
        <v>678</v>
      </c>
      <c r="B7112" t="s">
        <v>71</v>
      </c>
      <c r="E7112" s="3">
        <f>HYPERLINK("https://sao.dolgi.msk.ru/account/1404260372/", 1404260372)</f>
        <v>1404260372</v>
      </c>
      <c r="F7112">
        <v>-1700.92</v>
      </c>
    </row>
    <row r="7113" spans="1:6" hidden="1" x14ac:dyDescent="0.25">
      <c r="A7113" t="s">
        <v>678</v>
      </c>
      <c r="B7113" t="s">
        <v>72</v>
      </c>
      <c r="E7113" s="3">
        <f>HYPERLINK("https://sao.dolgi.msk.ru/account/1404259531/", 1404259531)</f>
        <v>1404259531</v>
      </c>
      <c r="F7113">
        <v>-3535.88</v>
      </c>
    </row>
    <row r="7114" spans="1:6" hidden="1" x14ac:dyDescent="0.25">
      <c r="A7114" t="s">
        <v>678</v>
      </c>
      <c r="B7114" t="s">
        <v>73</v>
      </c>
      <c r="E7114" s="3">
        <f>HYPERLINK("https://sao.dolgi.msk.ru/account/1404260284/", 1404260284)</f>
        <v>1404260284</v>
      </c>
      <c r="F7114">
        <v>-3077.69</v>
      </c>
    </row>
    <row r="7115" spans="1:6" hidden="1" x14ac:dyDescent="0.25">
      <c r="A7115" t="s">
        <v>678</v>
      </c>
      <c r="B7115" t="s">
        <v>74</v>
      </c>
      <c r="E7115" s="3">
        <f>HYPERLINK("https://sao.dolgi.msk.ru/account/1404260364/", 1404260364)</f>
        <v>1404260364</v>
      </c>
      <c r="F7115">
        <v>-1771.04</v>
      </c>
    </row>
    <row r="7116" spans="1:6" hidden="1" x14ac:dyDescent="0.25">
      <c r="A7116" t="s">
        <v>678</v>
      </c>
      <c r="B7116" t="s">
        <v>75</v>
      </c>
      <c r="E7116" s="3">
        <f>HYPERLINK("https://sao.dolgi.msk.ru/account/1404258627/", 1404258627)</f>
        <v>1404258627</v>
      </c>
      <c r="F7116">
        <v>0</v>
      </c>
    </row>
    <row r="7117" spans="1:6" hidden="1" x14ac:dyDescent="0.25">
      <c r="A7117" t="s">
        <v>678</v>
      </c>
      <c r="B7117" t="s">
        <v>76</v>
      </c>
      <c r="E7117" s="3">
        <f>HYPERLINK("https://sao.dolgi.msk.ru/account/1404259419/", 1404259419)</f>
        <v>1404259419</v>
      </c>
      <c r="F7117">
        <v>-2790.05</v>
      </c>
    </row>
    <row r="7118" spans="1:6" hidden="1" x14ac:dyDescent="0.25">
      <c r="A7118" t="s">
        <v>678</v>
      </c>
      <c r="B7118" t="s">
        <v>77</v>
      </c>
      <c r="E7118" s="3">
        <f>HYPERLINK("https://sao.dolgi.msk.ru/account/1404258475/", 1404258475)</f>
        <v>1404258475</v>
      </c>
      <c r="F7118">
        <v>-2389.6999999999998</v>
      </c>
    </row>
    <row r="7119" spans="1:6" x14ac:dyDescent="0.25">
      <c r="A7119" t="s">
        <v>678</v>
      </c>
      <c r="B7119" t="s">
        <v>78</v>
      </c>
      <c r="C7119" s="5" t="str">
        <f t="shared" ref="C7119:C7120" si="278">" кв. "&amp;B7119</f>
        <v xml:space="preserve"> кв. 74</v>
      </c>
      <c r="D7119" s="5" t="str">
        <f>CONCATENATE(A7119,C7119)</f>
        <v>Ленинградское шоссе, дом 108 к.1 кв. 74</v>
      </c>
      <c r="E7119" s="3">
        <f>HYPERLINK("https://sao.dolgi.msk.ru/account/1404258483/", 1404258483)</f>
        <v>1404258483</v>
      </c>
      <c r="F7119">
        <v>1692.21</v>
      </c>
    </row>
    <row r="7120" spans="1:6" x14ac:dyDescent="0.25">
      <c r="A7120" t="s">
        <v>678</v>
      </c>
      <c r="B7120" t="s">
        <v>79</v>
      </c>
      <c r="C7120" s="5" t="str">
        <f t="shared" si="278"/>
        <v xml:space="preserve"> кв. 75</v>
      </c>
      <c r="D7120" s="5" t="str">
        <f>CONCATENATE(A7120,C7120)</f>
        <v>Ленинградское шоссе, дом 108 к.1 кв. 75</v>
      </c>
      <c r="E7120" s="3">
        <f>HYPERLINK("https://sao.dolgi.msk.ru/account/1404258897/", 1404258897)</f>
        <v>1404258897</v>
      </c>
      <c r="F7120">
        <v>1692.21</v>
      </c>
    </row>
    <row r="7121" spans="1:6" hidden="1" x14ac:dyDescent="0.25">
      <c r="A7121" t="s">
        <v>678</v>
      </c>
      <c r="B7121" t="s">
        <v>80</v>
      </c>
      <c r="E7121" s="3">
        <f>HYPERLINK("https://sao.dolgi.msk.ru/account/1404259718/", 1404259718)</f>
        <v>1404259718</v>
      </c>
      <c r="F7121">
        <v>0</v>
      </c>
    </row>
    <row r="7122" spans="1:6" hidden="1" x14ac:dyDescent="0.25">
      <c r="A7122" t="s">
        <v>678</v>
      </c>
      <c r="B7122" t="s">
        <v>81</v>
      </c>
      <c r="E7122" s="3">
        <f>HYPERLINK("https://sao.dolgi.msk.ru/account/1404260073/", 1404260073)</f>
        <v>1404260073</v>
      </c>
      <c r="F7122">
        <v>-2586.04</v>
      </c>
    </row>
    <row r="7123" spans="1:6" hidden="1" x14ac:dyDescent="0.25">
      <c r="A7123" t="s">
        <v>678</v>
      </c>
      <c r="B7123" t="s">
        <v>82</v>
      </c>
      <c r="E7123" s="3">
        <f>HYPERLINK("https://sao.dolgi.msk.ru/account/1404259179/", 1404259179)</f>
        <v>1404259179</v>
      </c>
      <c r="F7123">
        <v>0</v>
      </c>
    </row>
    <row r="7124" spans="1:6" x14ac:dyDescent="0.25">
      <c r="A7124" t="s">
        <v>678</v>
      </c>
      <c r="B7124" t="s">
        <v>83</v>
      </c>
      <c r="C7124" s="5" t="str">
        <f>" кв. "&amp;B7124</f>
        <v xml:space="preserve"> кв. 79</v>
      </c>
      <c r="D7124" s="5" t="str">
        <f>CONCATENATE(A7124,C7124)</f>
        <v>Ленинградское шоссе, дом 108 к.1 кв. 79</v>
      </c>
      <c r="E7124" s="3">
        <f>HYPERLINK("https://sao.dolgi.msk.ru/account/1404259355/", 1404259355)</f>
        <v>1404259355</v>
      </c>
      <c r="F7124">
        <v>1695.37</v>
      </c>
    </row>
    <row r="7125" spans="1:6" hidden="1" x14ac:dyDescent="0.25">
      <c r="A7125" t="s">
        <v>678</v>
      </c>
      <c r="B7125" t="s">
        <v>84</v>
      </c>
      <c r="E7125" s="3">
        <f>HYPERLINK("https://sao.dolgi.msk.ru/account/1404258491/", 1404258491)</f>
        <v>1404258491</v>
      </c>
      <c r="F7125">
        <v>0</v>
      </c>
    </row>
    <row r="7126" spans="1:6" x14ac:dyDescent="0.25">
      <c r="A7126" t="s">
        <v>678</v>
      </c>
      <c r="B7126" t="s">
        <v>85</v>
      </c>
      <c r="C7126" s="5" t="str">
        <f t="shared" ref="C7126:C7127" si="279">" кв. "&amp;B7126</f>
        <v xml:space="preserve"> кв. 81</v>
      </c>
      <c r="D7126" s="5" t="str">
        <f>CONCATENATE(A7126,C7126)</f>
        <v>Ленинградское шоссе, дом 108 к.1 кв. 81</v>
      </c>
      <c r="E7126" s="3">
        <f>HYPERLINK("https://sao.dolgi.msk.ru/account/1404259638/", 1404259638)</f>
        <v>1404259638</v>
      </c>
      <c r="F7126">
        <v>2369.09</v>
      </c>
    </row>
    <row r="7127" spans="1:6" x14ac:dyDescent="0.25">
      <c r="A7127" t="s">
        <v>678</v>
      </c>
      <c r="B7127" t="s">
        <v>86</v>
      </c>
      <c r="C7127" s="5" t="str">
        <f t="shared" si="279"/>
        <v xml:space="preserve"> кв. 82</v>
      </c>
      <c r="D7127" s="5" t="str">
        <f>CONCATENATE(A7127,C7127)</f>
        <v>Ленинградское шоссе, дом 108 к.1 кв. 82</v>
      </c>
      <c r="E7127" s="3">
        <f>HYPERLINK("https://sao.dolgi.msk.ru/account/1404258926/", 1404258926)</f>
        <v>1404258926</v>
      </c>
      <c r="F7127">
        <v>1692.21</v>
      </c>
    </row>
    <row r="7128" spans="1:6" hidden="1" x14ac:dyDescent="0.25">
      <c r="A7128" t="s">
        <v>678</v>
      </c>
      <c r="B7128" t="s">
        <v>87</v>
      </c>
      <c r="E7128" s="3">
        <f>HYPERLINK("https://sao.dolgi.msk.ru/account/1404259435/", 1404259435)</f>
        <v>1404259435</v>
      </c>
      <c r="F7128">
        <v>-2472.81</v>
      </c>
    </row>
    <row r="7129" spans="1:6" x14ac:dyDescent="0.25">
      <c r="A7129" t="s">
        <v>678</v>
      </c>
      <c r="B7129" t="s">
        <v>88</v>
      </c>
      <c r="C7129" s="5" t="str">
        <f>" кв. "&amp;B7129</f>
        <v xml:space="preserve"> кв. 84</v>
      </c>
      <c r="D7129" s="5" t="str">
        <f>CONCATENATE(A7129,C7129)</f>
        <v>Ленинградское шоссе, дом 108 к.1 кв. 84</v>
      </c>
      <c r="E7129" s="3">
        <f>HYPERLINK("https://sao.dolgi.msk.ru/account/1404259048/", 1404259048)</f>
        <v>1404259048</v>
      </c>
      <c r="F7129">
        <v>2315.3200000000002</v>
      </c>
    </row>
    <row r="7130" spans="1:6" hidden="1" x14ac:dyDescent="0.25">
      <c r="A7130" t="s">
        <v>678</v>
      </c>
      <c r="B7130" t="s">
        <v>89</v>
      </c>
      <c r="E7130" s="3">
        <f>HYPERLINK("https://sao.dolgi.msk.ru/account/1404259988/", 1404259988)</f>
        <v>1404259988</v>
      </c>
      <c r="F7130">
        <v>-3461.93</v>
      </c>
    </row>
    <row r="7131" spans="1:6" hidden="1" x14ac:dyDescent="0.25">
      <c r="A7131" t="s">
        <v>678</v>
      </c>
      <c r="B7131" t="s">
        <v>90</v>
      </c>
      <c r="E7131" s="3">
        <f>HYPERLINK("https://sao.dolgi.msk.ru/account/1404259726/", 1404259726)</f>
        <v>1404259726</v>
      </c>
      <c r="F7131">
        <v>-2472.81</v>
      </c>
    </row>
    <row r="7132" spans="1:6" hidden="1" x14ac:dyDescent="0.25">
      <c r="A7132" t="s">
        <v>678</v>
      </c>
      <c r="B7132" t="s">
        <v>91</v>
      </c>
      <c r="E7132" s="3">
        <f>HYPERLINK("https://sao.dolgi.msk.ru/account/1404259363/", 1404259363)</f>
        <v>1404259363</v>
      </c>
      <c r="F7132">
        <v>-2477.4299999999998</v>
      </c>
    </row>
    <row r="7133" spans="1:6" hidden="1" x14ac:dyDescent="0.25">
      <c r="A7133" t="s">
        <v>678</v>
      </c>
      <c r="B7133" t="s">
        <v>92</v>
      </c>
      <c r="E7133" s="3">
        <f>HYPERLINK("https://sao.dolgi.msk.ru/account/1404259734/", 1404259734)</f>
        <v>1404259734</v>
      </c>
      <c r="F7133">
        <v>-2841.55</v>
      </c>
    </row>
    <row r="7134" spans="1:6" x14ac:dyDescent="0.25">
      <c r="A7134" t="s">
        <v>678</v>
      </c>
      <c r="B7134" t="s">
        <v>93</v>
      </c>
      <c r="C7134" s="5" t="str">
        <f t="shared" ref="C7134:C7136" si="280">" кв. "&amp;B7134</f>
        <v xml:space="preserve"> кв. 89</v>
      </c>
      <c r="D7134" s="5" t="str">
        <f>CONCATENATE(A7134,C7134)</f>
        <v>Ленинградское шоссе, дом 108 к.1 кв. 89</v>
      </c>
      <c r="E7134" s="3">
        <f>HYPERLINK("https://sao.dolgi.msk.ru/account/1404260081/", 1404260081)</f>
        <v>1404260081</v>
      </c>
      <c r="F7134">
        <v>2419.6999999999998</v>
      </c>
    </row>
    <row r="7135" spans="1:6" x14ac:dyDescent="0.25">
      <c r="A7135" t="s">
        <v>678</v>
      </c>
      <c r="B7135" t="s">
        <v>94</v>
      </c>
      <c r="C7135" s="5" t="str">
        <f t="shared" si="280"/>
        <v xml:space="preserve"> кв. 90</v>
      </c>
      <c r="D7135" s="5" t="str">
        <f>CONCATENATE(A7135,C7135)</f>
        <v>Ленинградское шоссе, дом 108 к.1 кв. 90</v>
      </c>
      <c r="E7135" s="3">
        <f>HYPERLINK("https://sao.dolgi.msk.ru/account/1404258977/", 1404258977)</f>
        <v>1404258977</v>
      </c>
      <c r="F7135">
        <v>1167.1400000000001</v>
      </c>
    </row>
    <row r="7136" spans="1:6" x14ac:dyDescent="0.25">
      <c r="A7136" t="s">
        <v>678</v>
      </c>
      <c r="B7136" t="s">
        <v>95</v>
      </c>
      <c r="C7136" s="5" t="str">
        <f t="shared" si="280"/>
        <v xml:space="preserve"> кв. 91</v>
      </c>
      <c r="D7136" s="5" t="str">
        <f>CONCATENATE(A7136,C7136)</f>
        <v>Ленинградское шоссе, дом 108 к.1 кв. 91</v>
      </c>
      <c r="E7136" s="3">
        <f>HYPERLINK("https://sao.dolgi.msk.ru/account/1404258408/", 1404258408)</f>
        <v>1404258408</v>
      </c>
      <c r="F7136">
        <v>1692.21</v>
      </c>
    </row>
    <row r="7137" spans="1:6" hidden="1" x14ac:dyDescent="0.25">
      <c r="A7137" t="s">
        <v>678</v>
      </c>
      <c r="B7137" t="s">
        <v>96</v>
      </c>
      <c r="E7137" s="3">
        <f>HYPERLINK("https://sao.dolgi.msk.ru/account/1404259806/", 1404259806)</f>
        <v>1404259806</v>
      </c>
      <c r="F7137">
        <v>-3452.68</v>
      </c>
    </row>
    <row r="7138" spans="1:6" hidden="1" x14ac:dyDescent="0.25">
      <c r="A7138" t="s">
        <v>678</v>
      </c>
      <c r="B7138" t="s">
        <v>97</v>
      </c>
      <c r="E7138" s="3">
        <f>HYPERLINK("https://sao.dolgi.msk.ru/account/1404258299/", 1404258299)</f>
        <v>1404258299</v>
      </c>
      <c r="F7138">
        <v>0</v>
      </c>
    </row>
    <row r="7139" spans="1:6" hidden="1" x14ac:dyDescent="0.25">
      <c r="A7139" t="s">
        <v>678</v>
      </c>
      <c r="B7139" t="s">
        <v>98</v>
      </c>
      <c r="E7139" s="3">
        <f>HYPERLINK("https://sao.dolgi.msk.ru/account/1404259814/", 1404259814)</f>
        <v>1404259814</v>
      </c>
      <c r="F7139">
        <v>0</v>
      </c>
    </row>
    <row r="7140" spans="1:6" hidden="1" x14ac:dyDescent="0.25">
      <c r="A7140" t="s">
        <v>678</v>
      </c>
      <c r="B7140" t="s">
        <v>99</v>
      </c>
      <c r="E7140" s="3">
        <f>HYPERLINK("https://sao.dolgi.msk.ru/account/1404259195/", 1404259195)</f>
        <v>1404259195</v>
      </c>
      <c r="F7140">
        <v>-2472.81</v>
      </c>
    </row>
    <row r="7141" spans="1:6" x14ac:dyDescent="0.25">
      <c r="A7141" t="s">
        <v>678</v>
      </c>
      <c r="B7141" t="s">
        <v>100</v>
      </c>
      <c r="C7141" s="5" t="str">
        <f>" кв. "&amp;B7141</f>
        <v xml:space="preserve"> кв. 96</v>
      </c>
      <c r="D7141" s="5" t="str">
        <f>CONCATENATE(A7141,C7141)</f>
        <v>Ленинградское шоссе, дом 108 к.1 кв. 96</v>
      </c>
      <c r="E7141" s="3">
        <f>HYPERLINK("https://sao.dolgi.msk.ru/account/1404258985/", 1404258985)</f>
        <v>1404258985</v>
      </c>
      <c r="F7141">
        <v>2362.7600000000002</v>
      </c>
    </row>
    <row r="7142" spans="1:6" hidden="1" x14ac:dyDescent="0.25">
      <c r="A7142" t="s">
        <v>678</v>
      </c>
      <c r="B7142" t="s">
        <v>101</v>
      </c>
      <c r="E7142" s="3">
        <f>HYPERLINK("https://sao.dolgi.msk.ru/account/1404258723/", 1404258723)</f>
        <v>1404258723</v>
      </c>
      <c r="F7142">
        <v>-3540.5</v>
      </c>
    </row>
    <row r="7143" spans="1:6" hidden="1" x14ac:dyDescent="0.25">
      <c r="A7143" t="s">
        <v>678</v>
      </c>
      <c r="B7143" t="s">
        <v>102</v>
      </c>
      <c r="E7143" s="3">
        <f>HYPERLINK("https://sao.dolgi.msk.ru/account/1404258635/", 1404258635)</f>
        <v>1404258635</v>
      </c>
      <c r="F7143">
        <v>-2082.5100000000002</v>
      </c>
    </row>
    <row r="7144" spans="1:6" hidden="1" x14ac:dyDescent="0.25">
      <c r="A7144" t="s">
        <v>678</v>
      </c>
      <c r="B7144" t="s">
        <v>103</v>
      </c>
      <c r="E7144" s="3">
        <f>HYPERLINK("https://sao.dolgi.msk.ru/account/1404260196/", 1404260196)</f>
        <v>1404260196</v>
      </c>
      <c r="F7144">
        <v>-2232.0700000000002</v>
      </c>
    </row>
    <row r="7145" spans="1:6" hidden="1" x14ac:dyDescent="0.25">
      <c r="A7145" t="s">
        <v>678</v>
      </c>
      <c r="B7145" t="s">
        <v>104</v>
      </c>
      <c r="E7145" s="3">
        <f>HYPERLINK("https://sao.dolgi.msk.ru/account/1404259697/", 1404259697)</f>
        <v>1404259697</v>
      </c>
      <c r="F7145">
        <v>-2629.72</v>
      </c>
    </row>
    <row r="7146" spans="1:6" hidden="1" x14ac:dyDescent="0.25">
      <c r="A7146" t="s">
        <v>678</v>
      </c>
      <c r="B7146" t="s">
        <v>105</v>
      </c>
      <c r="E7146" s="3">
        <f>HYPERLINK("https://sao.dolgi.msk.ru/account/1404258969/", 1404258969)</f>
        <v>1404258969</v>
      </c>
      <c r="F7146">
        <v>0</v>
      </c>
    </row>
    <row r="7147" spans="1:6" x14ac:dyDescent="0.25">
      <c r="A7147" t="s">
        <v>678</v>
      </c>
      <c r="B7147" t="s">
        <v>106</v>
      </c>
      <c r="C7147" s="5" t="str">
        <f t="shared" ref="C7147:C7148" si="281">" кв. "&amp;B7147</f>
        <v xml:space="preserve"> кв. 102</v>
      </c>
      <c r="D7147" s="5" t="str">
        <f>CONCATENATE(A7147,C7147)</f>
        <v>Ленинградское шоссе, дом 108 к.1 кв. 102</v>
      </c>
      <c r="E7147" s="3">
        <f>HYPERLINK("https://sao.dolgi.msk.ru/account/1404260356/", 1404260356)</f>
        <v>1404260356</v>
      </c>
      <c r="F7147">
        <v>1695.37</v>
      </c>
    </row>
    <row r="7148" spans="1:6" x14ac:dyDescent="0.25">
      <c r="A7148" t="s">
        <v>678</v>
      </c>
      <c r="B7148" t="s">
        <v>107</v>
      </c>
      <c r="C7148" s="5" t="str">
        <f t="shared" si="281"/>
        <v xml:space="preserve"> кв. 103</v>
      </c>
      <c r="D7148" s="5" t="str">
        <f>CONCATENATE(A7148,C7148)</f>
        <v>Ленинградское шоссе, дом 108 к.1 кв. 103</v>
      </c>
      <c r="E7148" s="3">
        <f>HYPERLINK("https://sao.dolgi.msk.ru/account/1404259144/", 1404259144)</f>
        <v>1404259144</v>
      </c>
      <c r="F7148">
        <v>1692.21</v>
      </c>
    </row>
    <row r="7149" spans="1:6" hidden="1" x14ac:dyDescent="0.25">
      <c r="A7149" t="s">
        <v>678</v>
      </c>
      <c r="B7149" t="s">
        <v>108</v>
      </c>
      <c r="E7149" s="3">
        <f>HYPERLINK("https://sao.dolgi.msk.ru/account/1404258272/", 1404258272)</f>
        <v>1404258272</v>
      </c>
      <c r="F7149">
        <v>0</v>
      </c>
    </row>
    <row r="7150" spans="1:6" hidden="1" x14ac:dyDescent="0.25">
      <c r="A7150" t="s">
        <v>678</v>
      </c>
      <c r="B7150" t="s">
        <v>109</v>
      </c>
      <c r="E7150" s="3">
        <f>HYPERLINK("https://sao.dolgi.msk.ru/account/1404258934/", 1404258934)</f>
        <v>1404258934</v>
      </c>
      <c r="F7150">
        <v>-3545.12</v>
      </c>
    </row>
    <row r="7151" spans="1:6" hidden="1" x14ac:dyDescent="0.25">
      <c r="A7151" t="s">
        <v>678</v>
      </c>
      <c r="B7151" t="s">
        <v>110</v>
      </c>
      <c r="E7151" s="3">
        <f>HYPERLINK("https://sao.dolgi.msk.ru/account/1404260129/", 1404260129)</f>
        <v>1404260129</v>
      </c>
      <c r="F7151">
        <v>-2468.1799999999998</v>
      </c>
    </row>
    <row r="7152" spans="1:6" hidden="1" x14ac:dyDescent="0.25">
      <c r="A7152" t="s">
        <v>678</v>
      </c>
      <c r="B7152" t="s">
        <v>111</v>
      </c>
      <c r="E7152" s="3">
        <f>HYPERLINK("https://sao.dolgi.msk.ru/account/1404260292/", 1404260292)</f>
        <v>1404260292</v>
      </c>
      <c r="F7152">
        <v>-2468.1799999999998</v>
      </c>
    </row>
    <row r="7153" spans="1:6" x14ac:dyDescent="0.25">
      <c r="A7153" t="s">
        <v>678</v>
      </c>
      <c r="B7153" t="s">
        <v>112</v>
      </c>
      <c r="C7153" s="5" t="str">
        <f>" кв. "&amp;B7153</f>
        <v xml:space="preserve"> кв. 108</v>
      </c>
      <c r="D7153" s="5" t="str">
        <f>CONCATENATE(A7153,C7153)</f>
        <v>Ленинградское шоссе, дом 108 к.1 кв. 108</v>
      </c>
      <c r="E7153" s="3">
        <f>HYPERLINK("https://sao.dolgi.msk.ru/account/1404260305/", 1404260305)</f>
        <v>1404260305</v>
      </c>
      <c r="F7153">
        <v>2362.7600000000002</v>
      </c>
    </row>
    <row r="7154" spans="1:6" hidden="1" x14ac:dyDescent="0.25">
      <c r="A7154" t="s">
        <v>678</v>
      </c>
      <c r="B7154" t="s">
        <v>113</v>
      </c>
      <c r="E7154" s="3">
        <f>HYPERLINK("https://sao.dolgi.msk.ru/account/1404259347/", 1404259347)</f>
        <v>1404259347</v>
      </c>
      <c r="F7154">
        <v>-3540.5</v>
      </c>
    </row>
    <row r="7155" spans="1:6" x14ac:dyDescent="0.25">
      <c r="A7155" t="s">
        <v>678</v>
      </c>
      <c r="B7155" t="s">
        <v>114</v>
      </c>
      <c r="C7155" s="5" t="str">
        <f t="shared" ref="C7155:C7156" si="282">" кв. "&amp;B7155</f>
        <v xml:space="preserve"> кв. 110</v>
      </c>
      <c r="D7155" s="5" t="str">
        <f>CONCATENATE(A7155,C7155)</f>
        <v>Ленинградское шоссе, дом 108 к.1 кв. 110</v>
      </c>
      <c r="E7155" s="3">
        <f>HYPERLINK("https://sao.dolgi.msk.ru/account/1404258256/", 1404258256)</f>
        <v>1404258256</v>
      </c>
      <c r="F7155">
        <v>1698.53</v>
      </c>
    </row>
    <row r="7156" spans="1:6" x14ac:dyDescent="0.25">
      <c r="A7156" t="s">
        <v>678</v>
      </c>
      <c r="B7156" t="s">
        <v>115</v>
      </c>
      <c r="C7156" s="5" t="str">
        <f t="shared" si="282"/>
        <v xml:space="preserve"> кв. 111</v>
      </c>
      <c r="D7156" s="5" t="str">
        <f>CONCATENATE(A7156,C7156)</f>
        <v>Ленинградское шоссе, дом 108 к.1 кв. 111</v>
      </c>
      <c r="E7156" s="3">
        <f>HYPERLINK("https://sao.dolgi.msk.ru/account/1404259443/", 1404259443)</f>
        <v>1404259443</v>
      </c>
      <c r="F7156">
        <v>1698.53</v>
      </c>
    </row>
    <row r="7157" spans="1:6" hidden="1" x14ac:dyDescent="0.25">
      <c r="A7157" t="s">
        <v>678</v>
      </c>
      <c r="B7157" t="s">
        <v>116</v>
      </c>
      <c r="E7157" s="3">
        <f>HYPERLINK("https://sao.dolgi.msk.ru/account/1404259451/", 1404259451)</f>
        <v>1404259451</v>
      </c>
      <c r="F7157">
        <v>-2381.92</v>
      </c>
    </row>
    <row r="7158" spans="1:6" hidden="1" x14ac:dyDescent="0.25">
      <c r="A7158" t="s">
        <v>678</v>
      </c>
      <c r="B7158" t="s">
        <v>117</v>
      </c>
      <c r="E7158" s="3">
        <f>HYPERLINK("https://sao.dolgi.msk.ru/account/1404258555/", 1404258555)</f>
        <v>1404258555</v>
      </c>
      <c r="F7158">
        <v>-2332.11</v>
      </c>
    </row>
    <row r="7159" spans="1:6" hidden="1" x14ac:dyDescent="0.25">
      <c r="A7159" t="s">
        <v>678</v>
      </c>
      <c r="B7159" t="s">
        <v>118</v>
      </c>
      <c r="E7159" s="3">
        <f>HYPERLINK("https://sao.dolgi.msk.ru/account/1404259187/", 1404259187)</f>
        <v>1404259187</v>
      </c>
      <c r="F7159">
        <v>0</v>
      </c>
    </row>
    <row r="7160" spans="1:6" hidden="1" x14ac:dyDescent="0.25">
      <c r="A7160" t="s">
        <v>678</v>
      </c>
      <c r="B7160" t="s">
        <v>119</v>
      </c>
      <c r="E7160" s="3">
        <f>HYPERLINK("https://sao.dolgi.msk.ru/account/1404258854/", 1404258854)</f>
        <v>1404258854</v>
      </c>
      <c r="F7160">
        <v>-2468.1799999999998</v>
      </c>
    </row>
    <row r="7161" spans="1:6" x14ac:dyDescent="0.25">
      <c r="A7161" t="s">
        <v>678</v>
      </c>
      <c r="B7161" t="s">
        <v>120</v>
      </c>
      <c r="C7161" s="5" t="str">
        <f t="shared" ref="C7161:C7163" si="283">" кв. "&amp;B7161</f>
        <v xml:space="preserve"> кв. 116</v>
      </c>
      <c r="D7161" s="5" t="str">
        <f>CONCATENATE(A7161,C7161)</f>
        <v>Ленинградское шоссе, дом 108 к.1 кв. 116</v>
      </c>
      <c r="E7161" s="3">
        <f>HYPERLINK("https://sao.dolgi.msk.ru/account/1404260065/", 1404260065)</f>
        <v>1404260065</v>
      </c>
      <c r="F7161">
        <v>2365.92</v>
      </c>
    </row>
    <row r="7162" spans="1:6" x14ac:dyDescent="0.25">
      <c r="A7162" t="s">
        <v>678</v>
      </c>
      <c r="B7162" t="s">
        <v>121</v>
      </c>
      <c r="C7162" s="5" t="str">
        <f t="shared" si="283"/>
        <v xml:space="preserve"> кв. 117</v>
      </c>
      <c r="D7162" s="5" t="str">
        <f>CONCATENATE(A7162,C7162)</f>
        <v>Ленинградское шоссе, дом 108 к.1 кв. 117</v>
      </c>
      <c r="E7162" s="3">
        <f>HYPERLINK("https://sao.dolgi.msk.ru/account/1404258459/", 1404258459)</f>
        <v>1404258459</v>
      </c>
      <c r="F7162">
        <v>2416.5300000000002</v>
      </c>
    </row>
    <row r="7163" spans="1:6" x14ac:dyDescent="0.25">
      <c r="A7163" t="s">
        <v>678</v>
      </c>
      <c r="B7163" t="s">
        <v>122</v>
      </c>
      <c r="C7163" s="5" t="str">
        <f t="shared" si="283"/>
        <v xml:space="preserve"> кв. 118</v>
      </c>
      <c r="D7163" s="5" t="str">
        <f>CONCATENATE(A7163,C7163)</f>
        <v>Ленинградское шоссе, дом 108 к.1 кв. 118</v>
      </c>
      <c r="E7163" s="3">
        <f>HYPERLINK("https://sao.dolgi.msk.ru/account/1404259136/", 1404259136)</f>
        <v>1404259136</v>
      </c>
      <c r="F7163">
        <v>1692.21</v>
      </c>
    </row>
    <row r="7164" spans="1:6" hidden="1" x14ac:dyDescent="0.25">
      <c r="A7164" t="s">
        <v>678</v>
      </c>
      <c r="B7164" t="s">
        <v>123</v>
      </c>
      <c r="E7164" s="3">
        <f>HYPERLINK("https://sao.dolgi.msk.ru/account/1404258862/", 1404258862)</f>
        <v>1404258862</v>
      </c>
      <c r="F7164">
        <v>-2472.81</v>
      </c>
    </row>
    <row r="7165" spans="1:6" x14ac:dyDescent="0.25">
      <c r="A7165" t="s">
        <v>678</v>
      </c>
      <c r="B7165" t="s">
        <v>124</v>
      </c>
      <c r="C7165" s="5" t="str">
        <f>" кв. "&amp;B7165</f>
        <v xml:space="preserve"> кв. 120</v>
      </c>
      <c r="D7165" s="5" t="str">
        <f>CONCATENATE(A7165,C7165)</f>
        <v>Ленинградское шоссе, дом 108 к.1 кв. 120</v>
      </c>
      <c r="E7165" s="3">
        <f>HYPERLINK("https://sao.dolgi.msk.ru/account/1404260014/", 1404260014)</f>
        <v>1404260014</v>
      </c>
      <c r="F7165">
        <v>2362.7600000000002</v>
      </c>
    </row>
    <row r="7166" spans="1:6" hidden="1" x14ac:dyDescent="0.25">
      <c r="A7166" t="s">
        <v>678</v>
      </c>
      <c r="B7166" t="s">
        <v>125</v>
      </c>
      <c r="E7166" s="3">
        <f>HYPERLINK("https://sao.dolgi.msk.ru/account/1404260022/", 1404260022)</f>
        <v>1404260022</v>
      </c>
      <c r="F7166">
        <v>0</v>
      </c>
    </row>
    <row r="7167" spans="1:6" x14ac:dyDescent="0.25">
      <c r="A7167" t="s">
        <v>678</v>
      </c>
      <c r="B7167" t="s">
        <v>126</v>
      </c>
      <c r="C7167" s="5" t="str">
        <f t="shared" ref="C7167:C7168" si="284">" кв. "&amp;B7167</f>
        <v xml:space="preserve"> кв. 122</v>
      </c>
      <c r="D7167" s="5" t="str">
        <f>CONCATENATE(A7167,C7167)</f>
        <v>Ленинградское шоссе, дом 108 к.1 кв. 122</v>
      </c>
      <c r="E7167" s="3">
        <f>HYPERLINK("https://sao.dolgi.msk.ru/account/1404259291/", 1404259291)</f>
        <v>1404259291</v>
      </c>
      <c r="F7167">
        <v>1692.21</v>
      </c>
    </row>
    <row r="7168" spans="1:6" x14ac:dyDescent="0.25">
      <c r="A7168" t="s">
        <v>678</v>
      </c>
      <c r="B7168" t="s">
        <v>127</v>
      </c>
      <c r="C7168" s="5" t="str">
        <f t="shared" si="284"/>
        <v xml:space="preserve"> кв. 123</v>
      </c>
      <c r="D7168" s="5" t="str">
        <f>CONCATENATE(A7168,C7168)</f>
        <v>Ленинградское шоссе, дом 108 к.1 кв. 123</v>
      </c>
      <c r="E7168" s="3">
        <f>HYPERLINK("https://sao.dolgi.msk.ru/account/1404260049/", 1404260049)</f>
        <v>1404260049</v>
      </c>
      <c r="F7168">
        <v>1692.21</v>
      </c>
    </row>
    <row r="7169" spans="1:6" hidden="1" x14ac:dyDescent="0.25">
      <c r="A7169" t="s">
        <v>678</v>
      </c>
      <c r="B7169" t="s">
        <v>128</v>
      </c>
      <c r="E7169" s="3">
        <f>HYPERLINK("https://sao.dolgi.msk.ru/account/1404260225/", 1404260225)</f>
        <v>1404260225</v>
      </c>
      <c r="F7169">
        <v>-3457.3</v>
      </c>
    </row>
    <row r="7170" spans="1:6" hidden="1" x14ac:dyDescent="0.25">
      <c r="A7170" t="s">
        <v>678</v>
      </c>
      <c r="B7170" t="s">
        <v>129</v>
      </c>
      <c r="E7170" s="3">
        <f>HYPERLINK("https://sao.dolgi.msk.ru/account/1404260057/", 1404260057)</f>
        <v>1404260057</v>
      </c>
      <c r="F7170">
        <v>0</v>
      </c>
    </row>
    <row r="7171" spans="1:6" hidden="1" x14ac:dyDescent="0.25">
      <c r="A7171" t="s">
        <v>678</v>
      </c>
      <c r="B7171" t="s">
        <v>130</v>
      </c>
      <c r="E7171" s="3">
        <f>HYPERLINK("https://sao.dolgi.msk.ru/account/1404260233/", 1404260233)</f>
        <v>1404260233</v>
      </c>
      <c r="F7171">
        <v>-2482.0500000000002</v>
      </c>
    </row>
    <row r="7172" spans="1:6" x14ac:dyDescent="0.25">
      <c r="A7172" t="s">
        <v>678</v>
      </c>
      <c r="B7172" t="s">
        <v>131</v>
      </c>
      <c r="C7172" s="5" t="str">
        <f>" кв. "&amp;B7172</f>
        <v xml:space="preserve"> кв. 127</v>
      </c>
      <c r="D7172" s="5" t="str">
        <f>CONCATENATE(A7172,C7172)</f>
        <v>Ленинградское шоссе, дом 108 к.1 кв. 127</v>
      </c>
      <c r="E7172" s="3">
        <f>HYPERLINK("https://sao.dolgi.msk.ru/account/1404260268/", 1404260268)</f>
        <v>1404260268</v>
      </c>
      <c r="F7172">
        <v>1692.21</v>
      </c>
    </row>
    <row r="7173" spans="1:6" hidden="1" x14ac:dyDescent="0.25">
      <c r="A7173" t="s">
        <v>678</v>
      </c>
      <c r="B7173" t="s">
        <v>132</v>
      </c>
      <c r="E7173" s="3">
        <f>HYPERLINK("https://sao.dolgi.msk.ru/account/1404259304/", 1404259304)</f>
        <v>1404259304</v>
      </c>
      <c r="F7173">
        <v>0</v>
      </c>
    </row>
    <row r="7174" spans="1:6" x14ac:dyDescent="0.25">
      <c r="A7174" t="s">
        <v>678</v>
      </c>
      <c r="B7174" t="s">
        <v>133</v>
      </c>
      <c r="C7174" s="5" t="str">
        <f t="shared" ref="C7174:C7177" si="285">" кв. "&amp;B7174</f>
        <v xml:space="preserve"> кв. 129</v>
      </c>
      <c r="D7174" s="5" t="str">
        <f>CONCATENATE(A7174,C7174)</f>
        <v>Ленинградское шоссе, дом 108 к.1 кв. 129</v>
      </c>
      <c r="E7174" s="3">
        <f>HYPERLINK("https://sao.dolgi.msk.ru/account/1404258424/", 1404258424)</f>
        <v>1404258424</v>
      </c>
      <c r="F7174">
        <v>2419.6999999999998</v>
      </c>
    </row>
    <row r="7175" spans="1:6" x14ac:dyDescent="0.25">
      <c r="A7175" t="s">
        <v>678</v>
      </c>
      <c r="B7175" t="s">
        <v>134</v>
      </c>
      <c r="C7175" s="5" t="str">
        <f t="shared" si="285"/>
        <v xml:space="preserve"> кв. 130</v>
      </c>
      <c r="D7175" s="5" t="str">
        <f>CONCATENATE(A7175,C7175)</f>
        <v>Ленинградское шоссе, дом 108 к.1 кв. 130</v>
      </c>
      <c r="E7175" s="3">
        <f>HYPERLINK("https://sao.dolgi.msk.ru/account/1404259232/", 1404259232)</f>
        <v>1404259232</v>
      </c>
      <c r="F7175">
        <v>1269.1600000000001</v>
      </c>
    </row>
    <row r="7176" spans="1:6" x14ac:dyDescent="0.25">
      <c r="A7176" t="s">
        <v>678</v>
      </c>
      <c r="B7176" t="s">
        <v>135</v>
      </c>
      <c r="C7176" s="5" t="str">
        <f t="shared" si="285"/>
        <v xml:space="preserve"> кв. 131</v>
      </c>
      <c r="D7176" s="5" t="str">
        <f>CONCATENATE(A7176,C7176)</f>
        <v>Ленинградское шоссе, дом 108 к.1 кв. 131</v>
      </c>
      <c r="E7176" s="3">
        <f>HYPERLINK("https://sao.dolgi.msk.ru/account/1404258395/", 1404258395)</f>
        <v>1404258395</v>
      </c>
      <c r="F7176">
        <v>1695.37</v>
      </c>
    </row>
    <row r="7177" spans="1:6" x14ac:dyDescent="0.25">
      <c r="A7177" t="s">
        <v>678</v>
      </c>
      <c r="B7177" t="s">
        <v>136</v>
      </c>
      <c r="C7177" s="5" t="str">
        <f t="shared" si="285"/>
        <v xml:space="preserve"> кв. 132</v>
      </c>
      <c r="D7177" s="5" t="str">
        <f>CONCATENATE(A7177,C7177)</f>
        <v>Ленинградское шоссе, дом 108 к.1 кв. 132</v>
      </c>
      <c r="E7177" s="3">
        <f>HYPERLINK("https://sao.dolgi.msk.ru/account/1404258889/", 1404258889)</f>
        <v>1404258889</v>
      </c>
      <c r="F7177">
        <v>1844.02</v>
      </c>
    </row>
    <row r="7178" spans="1:6" hidden="1" x14ac:dyDescent="0.25">
      <c r="A7178" t="s">
        <v>678</v>
      </c>
      <c r="B7178" t="s">
        <v>137</v>
      </c>
      <c r="E7178" s="3">
        <f>HYPERLINK("https://sao.dolgi.msk.ru/account/1404259961/", 1404259961)</f>
        <v>1404259961</v>
      </c>
      <c r="F7178">
        <v>-1119.0999999999999</v>
      </c>
    </row>
    <row r="7179" spans="1:6" x14ac:dyDescent="0.25">
      <c r="A7179" t="s">
        <v>678</v>
      </c>
      <c r="B7179" t="s">
        <v>138</v>
      </c>
      <c r="C7179" s="5" t="str">
        <f>" кв. "&amp;B7179</f>
        <v xml:space="preserve"> кв. 134</v>
      </c>
      <c r="D7179" s="5" t="str">
        <f>CONCATENATE(A7179,C7179)</f>
        <v>Ленинградское шоссе, дом 108 к.1 кв. 134</v>
      </c>
      <c r="E7179" s="3">
        <f>HYPERLINK("https://sao.dolgi.msk.ru/account/1404259259/", 1404259259)</f>
        <v>1404259259</v>
      </c>
      <c r="F7179">
        <v>1692.21</v>
      </c>
    </row>
    <row r="7180" spans="1:6" hidden="1" x14ac:dyDescent="0.25">
      <c r="A7180" t="s">
        <v>678</v>
      </c>
      <c r="B7180" t="s">
        <v>139</v>
      </c>
      <c r="E7180" s="3">
        <f>HYPERLINK("https://sao.dolgi.msk.ru/account/1404259574/", 1404259574)</f>
        <v>1404259574</v>
      </c>
      <c r="F7180">
        <v>-1236.4100000000001</v>
      </c>
    </row>
    <row r="7181" spans="1:6" x14ac:dyDescent="0.25">
      <c r="A7181" t="s">
        <v>678</v>
      </c>
      <c r="B7181" t="s">
        <v>140</v>
      </c>
      <c r="C7181" s="5" t="str">
        <f>" кв. "&amp;B7181</f>
        <v xml:space="preserve"> кв. 136</v>
      </c>
      <c r="D7181" s="5" t="str">
        <f>CONCATENATE(A7181,C7181)</f>
        <v>Ленинградское шоссе, дом 108 к.1 кв. 136</v>
      </c>
      <c r="E7181" s="3">
        <f>HYPERLINK("https://sao.dolgi.msk.ru/account/1404258467/", 1404258467)</f>
        <v>1404258467</v>
      </c>
      <c r="F7181">
        <v>1017.35</v>
      </c>
    </row>
    <row r="7182" spans="1:6" hidden="1" x14ac:dyDescent="0.25">
      <c r="A7182" t="s">
        <v>678</v>
      </c>
      <c r="B7182" t="s">
        <v>140</v>
      </c>
      <c r="E7182" s="3">
        <f>HYPERLINK("https://sao.dolgi.msk.ru/account/1404258731/", 1404258731)</f>
        <v>1404258731</v>
      </c>
      <c r="F7182">
        <v>-1486.65</v>
      </c>
    </row>
    <row r="7183" spans="1:6" hidden="1" x14ac:dyDescent="0.25">
      <c r="A7183" t="s">
        <v>678</v>
      </c>
      <c r="B7183" t="s">
        <v>140</v>
      </c>
      <c r="E7183" s="3">
        <f>HYPERLINK("https://sao.dolgi.msk.ru/account/1404258758/", 1404258758)</f>
        <v>1404258758</v>
      </c>
      <c r="F7183">
        <v>-484.03</v>
      </c>
    </row>
    <row r="7184" spans="1:6" x14ac:dyDescent="0.25">
      <c r="A7184" t="s">
        <v>678</v>
      </c>
      <c r="B7184" t="s">
        <v>141</v>
      </c>
      <c r="C7184" s="5" t="str">
        <f t="shared" ref="C7184:C7187" si="286">" кв. "&amp;B7184</f>
        <v xml:space="preserve"> кв. 137</v>
      </c>
      <c r="D7184" s="5" t="str">
        <f>CONCATENATE(A7184,C7184)</f>
        <v>Ленинградское шоссе, дом 108 к.1 кв. 137</v>
      </c>
      <c r="E7184" s="3">
        <f>HYPERLINK("https://sao.dolgi.msk.ru/account/1404258686/", 1404258686)</f>
        <v>1404258686</v>
      </c>
      <c r="F7184">
        <v>2398.25</v>
      </c>
    </row>
    <row r="7185" spans="1:6" x14ac:dyDescent="0.25">
      <c r="A7185" t="s">
        <v>678</v>
      </c>
      <c r="B7185" t="s">
        <v>142</v>
      </c>
      <c r="C7185" s="5" t="str">
        <f t="shared" si="286"/>
        <v xml:space="preserve"> кв. 138</v>
      </c>
      <c r="D7185" s="5" t="str">
        <f>CONCATENATE(A7185,C7185)</f>
        <v>Ленинградское шоссе, дом 108 к.1 кв. 138</v>
      </c>
      <c r="E7185" s="3">
        <f>HYPERLINK("https://sao.dolgi.msk.ru/account/1404260188/", 1404260188)</f>
        <v>1404260188</v>
      </c>
      <c r="F7185">
        <v>946.05</v>
      </c>
    </row>
    <row r="7186" spans="1:6" x14ac:dyDescent="0.25">
      <c r="A7186" t="s">
        <v>678</v>
      </c>
      <c r="B7186" t="s">
        <v>143</v>
      </c>
      <c r="C7186" s="5" t="str">
        <f t="shared" si="286"/>
        <v xml:space="preserve"> кв. 139</v>
      </c>
      <c r="D7186" s="5" t="str">
        <f>CONCATENATE(A7186,C7186)</f>
        <v>Ленинградское шоссе, дом 108 к.1 кв. 139</v>
      </c>
      <c r="E7186" s="3">
        <f>HYPERLINK("https://sao.dolgi.msk.ru/account/1404260401/", 1404260401)</f>
        <v>1404260401</v>
      </c>
      <c r="F7186">
        <v>938.1</v>
      </c>
    </row>
    <row r="7187" spans="1:6" x14ac:dyDescent="0.25">
      <c r="A7187" t="s">
        <v>678</v>
      </c>
      <c r="B7187" t="s">
        <v>144</v>
      </c>
      <c r="C7187" s="5" t="str">
        <f t="shared" si="286"/>
        <v xml:space="preserve"> кв. 140</v>
      </c>
      <c r="D7187" s="5" t="str">
        <f>CONCATENATE(A7187,C7187)</f>
        <v>Ленинградское шоссе, дом 108 к.1 кв. 140</v>
      </c>
      <c r="E7187" s="3">
        <f>HYPERLINK("https://sao.dolgi.msk.ru/account/1404259478/", 1404259478)</f>
        <v>1404259478</v>
      </c>
      <c r="F7187">
        <v>1462.8</v>
      </c>
    </row>
    <row r="7188" spans="1:6" hidden="1" x14ac:dyDescent="0.25">
      <c r="A7188" t="s">
        <v>678</v>
      </c>
      <c r="B7188" t="s">
        <v>145</v>
      </c>
      <c r="E7188" s="3">
        <f>HYPERLINK("https://sao.dolgi.msk.ru/account/1404258264/", 1404258264)</f>
        <v>1404258264</v>
      </c>
      <c r="F7188">
        <v>0</v>
      </c>
    </row>
    <row r="7189" spans="1:6" hidden="1" x14ac:dyDescent="0.25">
      <c r="A7189" t="s">
        <v>678</v>
      </c>
      <c r="B7189" t="s">
        <v>146</v>
      </c>
      <c r="E7189" s="3">
        <f>HYPERLINK("https://sao.dolgi.msk.ru/account/1404259937/", 1404259937)</f>
        <v>1404259937</v>
      </c>
      <c r="F7189">
        <v>0</v>
      </c>
    </row>
    <row r="7190" spans="1:6" hidden="1" x14ac:dyDescent="0.25">
      <c r="A7190" t="s">
        <v>678</v>
      </c>
      <c r="B7190" t="s">
        <v>147</v>
      </c>
      <c r="E7190" s="3">
        <f>HYPERLINK("https://sao.dolgi.msk.ru/account/1404260313/", 1404260313)</f>
        <v>1404260313</v>
      </c>
      <c r="F7190">
        <v>0</v>
      </c>
    </row>
    <row r="7191" spans="1:6" hidden="1" x14ac:dyDescent="0.25">
      <c r="A7191" t="s">
        <v>678</v>
      </c>
      <c r="B7191" t="s">
        <v>148</v>
      </c>
      <c r="E7191" s="3">
        <f>HYPERLINK("https://sao.dolgi.msk.ru/account/1404259486/", 1404259486)</f>
        <v>1404259486</v>
      </c>
      <c r="F7191">
        <v>-5110.17</v>
      </c>
    </row>
    <row r="7192" spans="1:6" hidden="1" x14ac:dyDescent="0.25">
      <c r="A7192" t="s">
        <v>678</v>
      </c>
      <c r="B7192" t="s">
        <v>149</v>
      </c>
      <c r="E7192" s="3">
        <f>HYPERLINK("https://sao.dolgi.msk.ru/account/1404260145/", 1404260145)</f>
        <v>1404260145</v>
      </c>
      <c r="F7192">
        <v>-4182.9799999999996</v>
      </c>
    </row>
    <row r="7193" spans="1:6" x14ac:dyDescent="0.25">
      <c r="A7193" t="s">
        <v>678</v>
      </c>
      <c r="B7193" t="s">
        <v>150</v>
      </c>
      <c r="C7193" s="5" t="str">
        <f t="shared" ref="C7193:C7194" si="287">" кв. "&amp;B7193</f>
        <v xml:space="preserve"> кв. 146</v>
      </c>
      <c r="D7193" s="5" t="str">
        <f>CONCATENATE(A7193,C7193)</f>
        <v>Ленинградское шоссе, дом 108 к.1 кв. 146</v>
      </c>
      <c r="E7193" s="3">
        <f>HYPERLINK("https://sao.dolgi.msk.ru/account/1404258563/", 1404258563)</f>
        <v>1404258563</v>
      </c>
      <c r="F7193">
        <v>1132.3499999999999</v>
      </c>
    </row>
    <row r="7194" spans="1:6" x14ac:dyDescent="0.25">
      <c r="A7194" t="s">
        <v>678</v>
      </c>
      <c r="B7194" t="s">
        <v>151</v>
      </c>
      <c r="C7194" s="5" t="str">
        <f t="shared" si="287"/>
        <v xml:space="preserve"> кв. 147</v>
      </c>
      <c r="D7194" s="5" t="str">
        <f>CONCATENATE(A7194,C7194)</f>
        <v>Ленинградское шоссе, дом 108 к.1 кв. 147</v>
      </c>
      <c r="E7194" s="3">
        <f>HYPERLINK("https://sao.dolgi.msk.ru/account/1404260321/", 1404260321)</f>
        <v>1404260321</v>
      </c>
      <c r="F7194">
        <v>1129.19</v>
      </c>
    </row>
    <row r="7195" spans="1:6" hidden="1" x14ac:dyDescent="0.25">
      <c r="A7195" t="s">
        <v>678</v>
      </c>
      <c r="B7195" t="s">
        <v>152</v>
      </c>
      <c r="E7195" s="3">
        <f>HYPERLINK("https://sao.dolgi.msk.ru/account/1404258571/", 1404258571)</f>
        <v>1404258571</v>
      </c>
      <c r="F7195">
        <v>0</v>
      </c>
    </row>
    <row r="7196" spans="1:6" x14ac:dyDescent="0.25">
      <c r="A7196" t="s">
        <v>678</v>
      </c>
      <c r="B7196" t="s">
        <v>153</v>
      </c>
      <c r="C7196" s="5" t="str">
        <f>" кв. "&amp;B7196</f>
        <v xml:space="preserve"> кв. 149</v>
      </c>
      <c r="D7196" s="5" t="str">
        <f>CONCATENATE(A7196,C7196)</f>
        <v>Ленинградское шоссе, дом 108 к.1 кв. 149</v>
      </c>
      <c r="E7196" s="3">
        <f>HYPERLINK("https://sao.dolgi.msk.ru/account/1404258694/", 1404258694)</f>
        <v>1404258694</v>
      </c>
      <c r="F7196">
        <v>2862.52</v>
      </c>
    </row>
    <row r="7197" spans="1:6" hidden="1" x14ac:dyDescent="0.25">
      <c r="A7197" t="s">
        <v>678</v>
      </c>
      <c r="B7197" t="s">
        <v>154</v>
      </c>
      <c r="E7197" s="3">
        <f>HYPERLINK("https://sao.dolgi.msk.ru/account/1404258598/", 1404258598)</f>
        <v>1404258598</v>
      </c>
      <c r="F7197">
        <v>0</v>
      </c>
    </row>
    <row r="7198" spans="1:6" hidden="1" x14ac:dyDescent="0.25">
      <c r="A7198" t="s">
        <v>678</v>
      </c>
      <c r="B7198" t="s">
        <v>155</v>
      </c>
      <c r="E7198" s="3">
        <f>HYPERLINK("https://sao.dolgi.msk.ru/account/1404258782/", 1404258782)</f>
        <v>1404258782</v>
      </c>
      <c r="F7198">
        <v>-1645.45</v>
      </c>
    </row>
    <row r="7199" spans="1:6" x14ac:dyDescent="0.25">
      <c r="A7199" t="s">
        <v>678</v>
      </c>
      <c r="B7199" t="s">
        <v>156</v>
      </c>
      <c r="C7199" s="5" t="str">
        <f t="shared" ref="C7199:C7201" si="288">" кв. "&amp;B7199</f>
        <v xml:space="preserve"> кв. 152</v>
      </c>
      <c r="D7199" s="5" t="str">
        <f>CONCATENATE(A7199,C7199)</f>
        <v>Ленинградское шоссе, дом 108 к.1 кв. 152</v>
      </c>
      <c r="E7199" s="3">
        <f>HYPERLINK("https://sao.dolgi.msk.ru/account/1404258141/", 1404258141)</f>
        <v>1404258141</v>
      </c>
      <c r="F7199">
        <v>2862.52</v>
      </c>
    </row>
    <row r="7200" spans="1:6" x14ac:dyDescent="0.25">
      <c r="A7200" t="s">
        <v>678</v>
      </c>
      <c r="B7200" t="s">
        <v>157</v>
      </c>
      <c r="C7200" s="5" t="str">
        <f t="shared" si="288"/>
        <v xml:space="preserve"> кв. 153</v>
      </c>
      <c r="D7200" s="5" t="str">
        <f>CONCATENATE(A7200,C7200)</f>
        <v>Ленинградское шоссе, дом 108 к.1 кв. 153</v>
      </c>
      <c r="E7200" s="3">
        <f>HYPERLINK("https://sao.dolgi.msk.ru/account/1404258416/", 1404258416)</f>
        <v>1404258416</v>
      </c>
      <c r="F7200">
        <v>2008.19</v>
      </c>
    </row>
    <row r="7201" spans="1:6" x14ac:dyDescent="0.25">
      <c r="A7201" t="s">
        <v>678</v>
      </c>
      <c r="B7201" t="s">
        <v>158</v>
      </c>
      <c r="C7201" s="5" t="str">
        <f t="shared" si="288"/>
        <v xml:space="preserve"> кв. 154</v>
      </c>
      <c r="D7201" s="5" t="str">
        <f>CONCATENATE(A7201,C7201)</f>
        <v>Ленинградское шоссе, дом 108 к.1 кв. 154</v>
      </c>
      <c r="E7201" s="3">
        <f>HYPERLINK("https://sao.dolgi.msk.ru/account/1404258803/", 1404258803)</f>
        <v>1404258803</v>
      </c>
      <c r="F7201">
        <v>1132.3499999999999</v>
      </c>
    </row>
    <row r="7202" spans="1:6" hidden="1" x14ac:dyDescent="0.25">
      <c r="A7202" t="s">
        <v>678</v>
      </c>
      <c r="B7202" t="s">
        <v>159</v>
      </c>
      <c r="E7202" s="3">
        <f>HYPERLINK("https://sao.dolgi.msk.ru/account/1404259064/", 1404259064)</f>
        <v>1404259064</v>
      </c>
      <c r="F7202">
        <v>-519.41999999999996</v>
      </c>
    </row>
    <row r="7203" spans="1:6" hidden="1" x14ac:dyDescent="0.25">
      <c r="A7203" t="s">
        <v>678</v>
      </c>
      <c r="B7203" t="s">
        <v>160</v>
      </c>
      <c r="E7203" s="3">
        <f>HYPERLINK("https://sao.dolgi.msk.ru/account/1404259283/", 1404259283)</f>
        <v>1404259283</v>
      </c>
      <c r="F7203">
        <v>-2330.19</v>
      </c>
    </row>
    <row r="7204" spans="1:6" hidden="1" x14ac:dyDescent="0.25">
      <c r="A7204" t="s">
        <v>678</v>
      </c>
      <c r="B7204" t="s">
        <v>161</v>
      </c>
      <c r="E7204" s="3">
        <f>HYPERLINK("https://sao.dolgi.msk.ru/account/1404258619/", 1404258619)</f>
        <v>1404258619</v>
      </c>
      <c r="F7204">
        <v>-3438.81</v>
      </c>
    </row>
    <row r="7205" spans="1:6" x14ac:dyDescent="0.25">
      <c r="A7205" t="s">
        <v>678</v>
      </c>
      <c r="B7205" t="s">
        <v>162</v>
      </c>
      <c r="C7205" s="5" t="str">
        <f t="shared" ref="C7205:C7206" si="289">" кв. "&amp;B7205</f>
        <v xml:space="preserve"> кв. 158</v>
      </c>
      <c r="D7205" s="5" t="str">
        <f>CONCATENATE(A7205,C7205)</f>
        <v>Ленинградское шоссе, дом 108 к.1 кв. 158</v>
      </c>
      <c r="E7205" s="3">
        <f>HYPERLINK("https://sao.dolgi.msk.ru/account/1404260348/", 1404260348)</f>
        <v>1404260348</v>
      </c>
      <c r="F7205">
        <v>1689.04</v>
      </c>
    </row>
    <row r="7206" spans="1:6" x14ac:dyDescent="0.25">
      <c r="A7206" t="s">
        <v>678</v>
      </c>
      <c r="B7206" t="s">
        <v>163</v>
      </c>
      <c r="C7206" s="5" t="str">
        <f t="shared" si="289"/>
        <v xml:space="preserve"> кв. 159</v>
      </c>
      <c r="D7206" s="5" t="str">
        <f>CONCATENATE(A7206,C7206)</f>
        <v>Ленинградское шоссе, дом 108 к.1 кв. 159</v>
      </c>
      <c r="E7206" s="3">
        <f>HYPERLINK("https://sao.dolgi.msk.ru/account/1404259611/", 1404259611)</f>
        <v>1404259611</v>
      </c>
      <c r="F7206">
        <v>1695.37</v>
      </c>
    </row>
    <row r="7207" spans="1:6" hidden="1" x14ac:dyDescent="0.25">
      <c r="A7207" t="s">
        <v>678</v>
      </c>
      <c r="B7207" t="s">
        <v>164</v>
      </c>
      <c r="E7207" s="3">
        <f>HYPERLINK("https://sao.dolgi.msk.ru/account/1404259558/", 1404259558)</f>
        <v>1404259558</v>
      </c>
      <c r="F7207">
        <v>-3171.68</v>
      </c>
    </row>
    <row r="7208" spans="1:6" x14ac:dyDescent="0.25">
      <c r="A7208" t="s">
        <v>678</v>
      </c>
      <c r="B7208" t="s">
        <v>165</v>
      </c>
      <c r="C7208" s="5" t="str">
        <f>" кв. "&amp;B7208</f>
        <v xml:space="preserve"> кв. 161</v>
      </c>
      <c r="D7208" s="5" t="str">
        <f>CONCATENATE(A7208,C7208)</f>
        <v>Ленинградское шоссе, дом 108 к.1 кв. 161</v>
      </c>
      <c r="E7208" s="3">
        <f>HYPERLINK("https://sao.dolgi.msk.ru/account/1404259945/", 1404259945)</f>
        <v>1404259945</v>
      </c>
      <c r="F7208">
        <v>1692.21</v>
      </c>
    </row>
    <row r="7209" spans="1:6" hidden="1" x14ac:dyDescent="0.25">
      <c r="A7209" t="s">
        <v>678</v>
      </c>
      <c r="B7209" t="s">
        <v>166</v>
      </c>
      <c r="E7209" s="3">
        <f>HYPERLINK("https://sao.dolgi.msk.ru/account/1404259021/", 1404259021)</f>
        <v>1404259021</v>
      </c>
      <c r="F7209">
        <v>-2463.56</v>
      </c>
    </row>
    <row r="7210" spans="1:6" hidden="1" x14ac:dyDescent="0.25">
      <c r="A7210" t="s">
        <v>678</v>
      </c>
      <c r="B7210" t="s">
        <v>167</v>
      </c>
      <c r="E7210" s="3">
        <f>HYPERLINK("https://sao.dolgi.msk.ru/account/1404260399/", 1404260399)</f>
        <v>1404260399</v>
      </c>
      <c r="F7210">
        <v>-2463.56</v>
      </c>
    </row>
    <row r="7211" spans="1:6" x14ac:dyDescent="0.25">
      <c r="A7211" t="s">
        <v>678</v>
      </c>
      <c r="B7211" t="s">
        <v>168</v>
      </c>
      <c r="C7211" s="5" t="str">
        <f>" кв. "&amp;B7211</f>
        <v xml:space="preserve"> кв. 164</v>
      </c>
      <c r="D7211" s="5" t="str">
        <f>CONCATENATE(A7211,C7211)</f>
        <v>Ленинградское шоссе, дом 108 к.1 кв. 164</v>
      </c>
      <c r="E7211" s="3">
        <f>HYPERLINK("https://sao.dolgi.msk.ru/account/1404259072/", 1404259072)</f>
        <v>1404259072</v>
      </c>
      <c r="F7211">
        <v>1695.37</v>
      </c>
    </row>
    <row r="7212" spans="1:6" hidden="1" x14ac:dyDescent="0.25">
      <c r="A7212" t="s">
        <v>678</v>
      </c>
      <c r="B7212" t="s">
        <v>169</v>
      </c>
      <c r="E7212" s="3">
        <f>HYPERLINK("https://sao.dolgi.msk.ru/account/1404259005/", 1404259005)</f>
        <v>1404259005</v>
      </c>
      <c r="F7212">
        <v>0</v>
      </c>
    </row>
    <row r="7213" spans="1:6" x14ac:dyDescent="0.25">
      <c r="A7213" t="s">
        <v>678</v>
      </c>
      <c r="B7213" t="s">
        <v>170</v>
      </c>
      <c r="C7213" s="5" t="str">
        <f>" кв. "&amp;B7213</f>
        <v xml:space="preserve"> кв. 166</v>
      </c>
      <c r="D7213" s="5" t="str">
        <f>CONCATENATE(A7213,C7213)</f>
        <v>Ленинградское шоссе, дом 108 к.1 кв. 166</v>
      </c>
      <c r="E7213" s="3">
        <f>HYPERLINK("https://sao.dolgi.msk.ru/account/1404258328/", 1404258328)</f>
        <v>1404258328</v>
      </c>
      <c r="F7213">
        <v>1685.88</v>
      </c>
    </row>
    <row r="7214" spans="1:6" hidden="1" x14ac:dyDescent="0.25">
      <c r="A7214" t="s">
        <v>678</v>
      </c>
      <c r="B7214" t="s">
        <v>171</v>
      </c>
      <c r="E7214" s="3">
        <f>HYPERLINK("https://sao.dolgi.msk.ru/account/1404258707/", 1404258707)</f>
        <v>1404258707</v>
      </c>
      <c r="F7214">
        <v>-2468.1799999999998</v>
      </c>
    </row>
    <row r="7215" spans="1:6" hidden="1" x14ac:dyDescent="0.25">
      <c r="A7215" t="s">
        <v>678</v>
      </c>
      <c r="B7215" t="s">
        <v>172</v>
      </c>
      <c r="E7215" s="3">
        <f>HYPERLINK("https://sao.dolgi.msk.ru/account/1404259566/", 1404259566)</f>
        <v>1404259566</v>
      </c>
      <c r="F7215">
        <v>-3198.07</v>
      </c>
    </row>
    <row r="7216" spans="1:6" hidden="1" x14ac:dyDescent="0.25">
      <c r="A7216" t="s">
        <v>678</v>
      </c>
      <c r="B7216" t="s">
        <v>173</v>
      </c>
      <c r="E7216" s="3">
        <f>HYPERLINK("https://sao.dolgi.msk.ru/account/1404259953/", 1404259953)</f>
        <v>1404259953</v>
      </c>
      <c r="F7216">
        <v>0</v>
      </c>
    </row>
    <row r="7217" spans="1:6" hidden="1" x14ac:dyDescent="0.25">
      <c r="A7217" t="s">
        <v>678</v>
      </c>
      <c r="B7217" t="s">
        <v>174</v>
      </c>
      <c r="E7217" s="3">
        <f>HYPERLINK("https://sao.dolgi.msk.ru/account/1404258918/", 1404258918)</f>
        <v>1404258918</v>
      </c>
      <c r="F7217">
        <v>-2472.81</v>
      </c>
    </row>
    <row r="7218" spans="1:6" hidden="1" x14ac:dyDescent="0.25">
      <c r="A7218" t="s">
        <v>678</v>
      </c>
      <c r="B7218" t="s">
        <v>175</v>
      </c>
      <c r="E7218" s="3">
        <f>HYPERLINK("https://sao.dolgi.msk.ru/account/1404259582/", 1404259582)</f>
        <v>1404259582</v>
      </c>
      <c r="F7218">
        <v>0</v>
      </c>
    </row>
    <row r="7219" spans="1:6" hidden="1" x14ac:dyDescent="0.25">
      <c r="A7219" t="s">
        <v>678</v>
      </c>
      <c r="B7219" t="s">
        <v>175</v>
      </c>
      <c r="E7219" s="3">
        <f>HYPERLINK("https://sao.dolgi.msk.ru/account/1404260102/", 1404260102)</f>
        <v>1404260102</v>
      </c>
      <c r="F7219">
        <v>0</v>
      </c>
    </row>
    <row r="7220" spans="1:6" hidden="1" x14ac:dyDescent="0.25">
      <c r="A7220" t="s">
        <v>678</v>
      </c>
      <c r="B7220" t="s">
        <v>176</v>
      </c>
      <c r="E7220" s="3">
        <f>HYPERLINK("https://sao.dolgi.msk.ru/account/1404258192/", 1404258192)</f>
        <v>1404258192</v>
      </c>
      <c r="F7220">
        <v>-2680.8</v>
      </c>
    </row>
    <row r="7221" spans="1:6" x14ac:dyDescent="0.25">
      <c r="A7221" t="s">
        <v>678</v>
      </c>
      <c r="B7221" t="s">
        <v>177</v>
      </c>
      <c r="C7221" s="5" t="str">
        <f>" кв. "&amp;B7221</f>
        <v xml:space="preserve"> кв. 173</v>
      </c>
      <c r="D7221" s="5" t="str">
        <f>CONCATENATE(A7221,C7221)</f>
        <v>Ленинградское шоссе, дом 108 к.1 кв. 173</v>
      </c>
      <c r="E7221" s="3">
        <f>HYPERLINK("https://sao.dolgi.msk.ru/account/1404260276/", 1404260276)</f>
        <v>1404260276</v>
      </c>
      <c r="F7221">
        <v>2356.44</v>
      </c>
    </row>
    <row r="7222" spans="1:6" hidden="1" x14ac:dyDescent="0.25">
      <c r="A7222" t="s">
        <v>678</v>
      </c>
      <c r="B7222" t="s">
        <v>178</v>
      </c>
      <c r="E7222" s="3">
        <f>HYPERLINK("https://sao.dolgi.msk.ru/account/1404258512/", 1404258512)</f>
        <v>1404258512</v>
      </c>
      <c r="F7222">
        <v>0</v>
      </c>
    </row>
    <row r="7223" spans="1:6" hidden="1" x14ac:dyDescent="0.25">
      <c r="A7223" t="s">
        <v>678</v>
      </c>
      <c r="B7223" t="s">
        <v>179</v>
      </c>
      <c r="E7223" s="3">
        <f>HYPERLINK("https://sao.dolgi.msk.ru/account/1404259371/", 1404259371)</f>
        <v>1404259371</v>
      </c>
      <c r="F7223">
        <v>0</v>
      </c>
    </row>
    <row r="7224" spans="1:6" x14ac:dyDescent="0.25">
      <c r="A7224" t="s">
        <v>678</v>
      </c>
      <c r="B7224" t="s">
        <v>180</v>
      </c>
      <c r="C7224" s="5" t="str">
        <f>" кв. "&amp;B7224</f>
        <v xml:space="preserve"> кв. 176</v>
      </c>
      <c r="D7224" s="5" t="str">
        <f>CONCATENATE(A7224,C7224)</f>
        <v>Ленинградское шоссе, дом 108 к.1 кв. 176</v>
      </c>
      <c r="E7224" s="3">
        <f>HYPERLINK("https://sao.dolgi.msk.ru/account/1404258336/", 1404258336)</f>
        <v>1404258336</v>
      </c>
      <c r="F7224">
        <v>2359.6</v>
      </c>
    </row>
    <row r="7225" spans="1:6" hidden="1" x14ac:dyDescent="0.25">
      <c r="A7225" t="s">
        <v>678</v>
      </c>
      <c r="B7225" t="s">
        <v>181</v>
      </c>
      <c r="E7225" s="3">
        <f>HYPERLINK("https://sao.dolgi.msk.ru/account/1404258205/", 1404258205)</f>
        <v>1404258205</v>
      </c>
      <c r="F7225">
        <v>-3438.81</v>
      </c>
    </row>
    <row r="7226" spans="1:6" hidden="1" x14ac:dyDescent="0.25">
      <c r="A7226" t="s">
        <v>678</v>
      </c>
      <c r="B7226" t="s">
        <v>182</v>
      </c>
      <c r="E7226" s="3">
        <f>HYPERLINK("https://sao.dolgi.msk.ru/account/1404258539/", 1404258539)</f>
        <v>1404258539</v>
      </c>
      <c r="F7226">
        <v>0</v>
      </c>
    </row>
    <row r="7227" spans="1:6" hidden="1" x14ac:dyDescent="0.25">
      <c r="A7227" t="s">
        <v>678</v>
      </c>
      <c r="B7227" t="s">
        <v>183</v>
      </c>
      <c r="E7227" s="3">
        <f>HYPERLINK("https://sao.dolgi.msk.ru/account/1404258213/", 1404258213)</f>
        <v>1404258213</v>
      </c>
      <c r="F7227">
        <v>-2468.1799999999998</v>
      </c>
    </row>
    <row r="7228" spans="1:6" hidden="1" x14ac:dyDescent="0.25">
      <c r="A7228" t="s">
        <v>678</v>
      </c>
      <c r="B7228" t="s">
        <v>184</v>
      </c>
      <c r="E7228" s="3">
        <f>HYPERLINK("https://sao.dolgi.msk.ru/account/1404258352/", 1404258352)</f>
        <v>1404258352</v>
      </c>
      <c r="F7228">
        <v>-3443.44</v>
      </c>
    </row>
    <row r="7229" spans="1:6" hidden="1" x14ac:dyDescent="0.25">
      <c r="A7229" t="s">
        <v>678</v>
      </c>
      <c r="B7229" t="s">
        <v>185</v>
      </c>
      <c r="E7229" s="3">
        <f>HYPERLINK("https://sao.dolgi.msk.ru/account/1404258221/", 1404258221)</f>
        <v>1404258221</v>
      </c>
      <c r="F7229">
        <v>-3448.06</v>
      </c>
    </row>
    <row r="7230" spans="1:6" x14ac:dyDescent="0.25">
      <c r="A7230" t="s">
        <v>678</v>
      </c>
      <c r="B7230" t="s">
        <v>186</v>
      </c>
      <c r="C7230" s="5" t="str">
        <f t="shared" ref="C7230:C7231" si="290">" кв. "&amp;B7230</f>
        <v xml:space="preserve"> кв. 182</v>
      </c>
      <c r="D7230" s="5" t="str">
        <f>CONCATENATE(A7230,C7230)</f>
        <v>Ленинградское шоссе, дом 108 к.1 кв. 182</v>
      </c>
      <c r="E7230" s="3">
        <f>HYPERLINK("https://sao.dolgi.msk.ru/account/1404259507/", 1404259507)</f>
        <v>1404259507</v>
      </c>
      <c r="F7230">
        <v>1692.21</v>
      </c>
    </row>
    <row r="7231" spans="1:6" x14ac:dyDescent="0.25">
      <c r="A7231" t="s">
        <v>678</v>
      </c>
      <c r="B7231" t="s">
        <v>187</v>
      </c>
      <c r="C7231" s="5" t="str">
        <f t="shared" si="290"/>
        <v xml:space="preserve"> кв. 183</v>
      </c>
      <c r="D7231" s="5" t="str">
        <f>CONCATENATE(A7231,C7231)</f>
        <v>Ленинградское шоссе, дом 108 к.1 кв. 183</v>
      </c>
      <c r="E7231" s="3">
        <f>HYPERLINK("https://sao.dolgi.msk.ru/account/1404259398/", 1404259398)</f>
        <v>1404259398</v>
      </c>
      <c r="F7231">
        <v>1692.21</v>
      </c>
    </row>
    <row r="7232" spans="1:6" hidden="1" x14ac:dyDescent="0.25">
      <c r="A7232" t="s">
        <v>678</v>
      </c>
      <c r="B7232" t="s">
        <v>188</v>
      </c>
      <c r="E7232" s="3">
        <f>HYPERLINK("https://sao.dolgi.msk.ru/account/1404259152/", 1404259152)</f>
        <v>1404259152</v>
      </c>
      <c r="F7232">
        <v>0</v>
      </c>
    </row>
    <row r="7233" spans="1:6" hidden="1" x14ac:dyDescent="0.25">
      <c r="A7233" t="s">
        <v>679</v>
      </c>
      <c r="B7233" t="s">
        <v>5</v>
      </c>
      <c r="E7233" s="3">
        <f>HYPERLINK("https://sao.dolgi.msk.ru/account/1404262108/", 1404262108)</f>
        <v>1404262108</v>
      </c>
      <c r="F7233">
        <v>-3172.2</v>
      </c>
    </row>
    <row r="7234" spans="1:6" hidden="1" x14ac:dyDescent="0.25">
      <c r="A7234" t="s">
        <v>679</v>
      </c>
      <c r="B7234" t="s">
        <v>6</v>
      </c>
      <c r="E7234" s="3">
        <f>HYPERLINK("https://sao.dolgi.msk.ru/account/1404262482/", 1404262482)</f>
        <v>1404262482</v>
      </c>
      <c r="F7234">
        <v>0</v>
      </c>
    </row>
    <row r="7235" spans="1:6" x14ac:dyDescent="0.25">
      <c r="A7235" t="s">
        <v>679</v>
      </c>
      <c r="B7235" t="s">
        <v>7</v>
      </c>
      <c r="C7235" s="5" t="str">
        <f>" кв. "&amp;B7235</f>
        <v xml:space="preserve"> кв. 3</v>
      </c>
      <c r="D7235" s="5" t="str">
        <f>CONCATENATE(A7235,C7235)</f>
        <v>Ленинградское шоссе, дом 108 к.2 кв. 3</v>
      </c>
      <c r="E7235" s="3">
        <f>HYPERLINK("https://sao.dolgi.msk.ru/account/1404260858/", 1404260858)</f>
        <v>1404260858</v>
      </c>
      <c r="F7235">
        <v>943.4</v>
      </c>
    </row>
    <row r="7236" spans="1:6" hidden="1" x14ac:dyDescent="0.25">
      <c r="A7236" t="s">
        <v>679</v>
      </c>
      <c r="B7236" t="s">
        <v>8</v>
      </c>
      <c r="E7236" s="3">
        <f>HYPERLINK("https://sao.dolgi.msk.ru/account/1404260452/", 1404260452)</f>
        <v>1404260452</v>
      </c>
      <c r="F7236">
        <v>-2794.16</v>
      </c>
    </row>
    <row r="7237" spans="1:6" hidden="1" x14ac:dyDescent="0.25">
      <c r="A7237" t="s">
        <v>679</v>
      </c>
      <c r="B7237" t="s">
        <v>9</v>
      </c>
      <c r="E7237" s="3">
        <f>HYPERLINK("https://sao.dolgi.msk.ru/account/1404261391/", 1404261391)</f>
        <v>1404261391</v>
      </c>
      <c r="F7237">
        <v>-2507.9299999999998</v>
      </c>
    </row>
    <row r="7238" spans="1:6" hidden="1" x14ac:dyDescent="0.25">
      <c r="A7238" t="s">
        <v>679</v>
      </c>
      <c r="B7238" t="s">
        <v>10</v>
      </c>
      <c r="E7238" s="3">
        <f>HYPERLINK("https://sao.dolgi.msk.ru/account/1404262271/", 1404262271)</f>
        <v>1404262271</v>
      </c>
      <c r="F7238">
        <v>-1650.07</v>
      </c>
    </row>
    <row r="7239" spans="1:6" hidden="1" x14ac:dyDescent="0.25">
      <c r="A7239" t="s">
        <v>679</v>
      </c>
      <c r="B7239" t="s">
        <v>11</v>
      </c>
      <c r="E7239" s="3">
        <f>HYPERLINK("https://sao.dolgi.msk.ru/account/1404261594/", 1404261594)</f>
        <v>1404261594</v>
      </c>
      <c r="F7239">
        <v>-1645.45</v>
      </c>
    </row>
    <row r="7240" spans="1:6" hidden="1" x14ac:dyDescent="0.25">
      <c r="A7240" t="s">
        <v>679</v>
      </c>
      <c r="B7240" t="s">
        <v>12</v>
      </c>
      <c r="E7240" s="3">
        <f>HYPERLINK("https://sao.dolgi.msk.ru/account/1404261885/", 1404261885)</f>
        <v>1404261885</v>
      </c>
      <c r="F7240">
        <v>-3415.71</v>
      </c>
    </row>
    <row r="7241" spans="1:6" hidden="1" x14ac:dyDescent="0.25">
      <c r="A7241" t="s">
        <v>679</v>
      </c>
      <c r="B7241" t="s">
        <v>13</v>
      </c>
      <c r="E7241" s="3">
        <f>HYPERLINK("https://sao.dolgi.msk.ru/account/1404260639/", 1404260639)</f>
        <v>1404260639</v>
      </c>
      <c r="F7241">
        <v>-4178.3500000000004</v>
      </c>
    </row>
    <row r="7242" spans="1:6" hidden="1" x14ac:dyDescent="0.25">
      <c r="A7242" t="s">
        <v>679</v>
      </c>
      <c r="B7242" t="s">
        <v>14</v>
      </c>
      <c r="E7242" s="3">
        <f>HYPERLINK("https://sao.dolgi.msk.ru/account/1404262116/", 1404262116)</f>
        <v>1404262116</v>
      </c>
      <c r="F7242">
        <v>-1645.45</v>
      </c>
    </row>
    <row r="7243" spans="1:6" x14ac:dyDescent="0.25">
      <c r="A7243" t="s">
        <v>679</v>
      </c>
      <c r="B7243" t="s">
        <v>15</v>
      </c>
      <c r="C7243" s="5" t="str">
        <f>" кв. "&amp;B7243</f>
        <v xml:space="preserve"> кв. 11</v>
      </c>
      <c r="D7243" s="5" t="str">
        <f>CONCATENATE(A7243,C7243)</f>
        <v>Ленинградское шоссе, дом 108 к.2 кв. 11</v>
      </c>
      <c r="E7243" s="3">
        <f>HYPERLINK("https://sao.dolgi.msk.ru/account/1404260436/", 1404260436)</f>
        <v>1404260436</v>
      </c>
      <c r="F7243">
        <v>1119.7</v>
      </c>
    </row>
    <row r="7244" spans="1:6" hidden="1" x14ac:dyDescent="0.25">
      <c r="A7244" t="s">
        <v>679</v>
      </c>
      <c r="B7244" t="s">
        <v>16</v>
      </c>
      <c r="E7244" s="3">
        <f>HYPERLINK("https://sao.dolgi.msk.ru/account/1404262079/", 1404262079)</f>
        <v>1404262079</v>
      </c>
      <c r="F7244">
        <v>-4173.7299999999996</v>
      </c>
    </row>
    <row r="7245" spans="1:6" hidden="1" x14ac:dyDescent="0.25">
      <c r="A7245" t="s">
        <v>679</v>
      </c>
      <c r="B7245" t="s">
        <v>17</v>
      </c>
      <c r="E7245" s="3">
        <f>HYPERLINK("https://sao.dolgi.msk.ru/account/1404261295/", 1404261295)</f>
        <v>1404261295</v>
      </c>
      <c r="F7245">
        <v>-4173.7299999999996</v>
      </c>
    </row>
    <row r="7246" spans="1:6" hidden="1" x14ac:dyDescent="0.25">
      <c r="A7246" t="s">
        <v>679</v>
      </c>
      <c r="B7246" t="s">
        <v>18</v>
      </c>
      <c r="E7246" s="3">
        <f>HYPERLINK("https://sao.dolgi.msk.ru/account/1404262757/", 1404262757)</f>
        <v>1404262757</v>
      </c>
      <c r="F7246">
        <v>-1645.45</v>
      </c>
    </row>
    <row r="7247" spans="1:6" hidden="1" x14ac:dyDescent="0.25">
      <c r="A7247" t="s">
        <v>679</v>
      </c>
      <c r="B7247" t="s">
        <v>19</v>
      </c>
      <c r="E7247" s="3">
        <f>HYPERLINK("https://sao.dolgi.msk.ru/account/1404262407/", 1404262407)</f>
        <v>1404262407</v>
      </c>
      <c r="F7247">
        <v>-1645.45</v>
      </c>
    </row>
    <row r="7248" spans="1:6" hidden="1" x14ac:dyDescent="0.25">
      <c r="A7248" t="s">
        <v>679</v>
      </c>
      <c r="B7248" t="s">
        <v>20</v>
      </c>
      <c r="E7248" s="3">
        <f>HYPERLINK("https://sao.dolgi.msk.ru/account/1404261877/", 1404261877)</f>
        <v>1404261877</v>
      </c>
      <c r="F7248">
        <v>0</v>
      </c>
    </row>
    <row r="7249" spans="1:6" hidden="1" x14ac:dyDescent="0.25">
      <c r="A7249" t="s">
        <v>679</v>
      </c>
      <c r="B7249" t="s">
        <v>21</v>
      </c>
      <c r="E7249" s="3">
        <f>HYPERLINK("https://sao.dolgi.msk.ru/account/1404260807/", 1404260807)</f>
        <v>1404260807</v>
      </c>
      <c r="F7249">
        <v>-3443.44</v>
      </c>
    </row>
    <row r="7250" spans="1:6" x14ac:dyDescent="0.25">
      <c r="A7250" t="s">
        <v>679</v>
      </c>
      <c r="B7250" t="s">
        <v>22</v>
      </c>
      <c r="C7250" s="5" t="str">
        <f>" кв. "&amp;B7250</f>
        <v xml:space="preserve"> кв. 18</v>
      </c>
      <c r="D7250" s="5" t="str">
        <f>CONCATENATE(A7250,C7250)</f>
        <v>Ленинградское шоссе, дом 108 к.2 кв. 18</v>
      </c>
      <c r="E7250" s="3">
        <f>HYPERLINK("https://sao.dolgi.msk.ru/account/1404261973/", 1404261973)</f>
        <v>1404261973</v>
      </c>
      <c r="F7250">
        <v>1689.04</v>
      </c>
    </row>
    <row r="7251" spans="1:6" hidden="1" x14ac:dyDescent="0.25">
      <c r="A7251" t="s">
        <v>679</v>
      </c>
      <c r="B7251" t="s">
        <v>23</v>
      </c>
      <c r="E7251" s="3">
        <f>HYPERLINK("https://sao.dolgi.msk.ru/account/1404262095/", 1404262095)</f>
        <v>1404262095</v>
      </c>
      <c r="F7251">
        <v>-2482.0500000000002</v>
      </c>
    </row>
    <row r="7252" spans="1:6" hidden="1" x14ac:dyDescent="0.25">
      <c r="A7252" t="s">
        <v>679</v>
      </c>
      <c r="B7252" t="s">
        <v>24</v>
      </c>
      <c r="E7252" s="3">
        <f>HYPERLINK("https://sao.dolgi.msk.ru/account/1404261383/", 1404261383)</f>
        <v>1404261383</v>
      </c>
      <c r="F7252">
        <v>-3420.34</v>
      </c>
    </row>
    <row r="7253" spans="1:6" hidden="1" x14ac:dyDescent="0.25">
      <c r="A7253" t="s">
        <v>679</v>
      </c>
      <c r="B7253" t="s">
        <v>25</v>
      </c>
      <c r="E7253" s="3">
        <f>HYPERLINK("https://sao.dolgi.msk.ru/account/1404260524/", 1404260524)</f>
        <v>1404260524</v>
      </c>
      <c r="F7253">
        <v>-3434.19</v>
      </c>
    </row>
    <row r="7254" spans="1:6" hidden="1" x14ac:dyDescent="0.25">
      <c r="A7254" t="s">
        <v>679</v>
      </c>
      <c r="B7254" t="s">
        <v>26</v>
      </c>
      <c r="E7254" s="3">
        <f>HYPERLINK("https://sao.dolgi.msk.ru/account/1404260508/", 1404260508)</f>
        <v>1404260508</v>
      </c>
      <c r="F7254">
        <v>-1724.03</v>
      </c>
    </row>
    <row r="7255" spans="1:6" hidden="1" x14ac:dyDescent="0.25">
      <c r="A7255" t="s">
        <v>679</v>
      </c>
      <c r="B7255" t="s">
        <v>27</v>
      </c>
      <c r="E7255" s="3">
        <f>HYPERLINK("https://sao.dolgi.msk.ru/account/1404261615/", 1404261615)</f>
        <v>1404261615</v>
      </c>
      <c r="F7255">
        <v>-2486.67</v>
      </c>
    </row>
    <row r="7256" spans="1:6" x14ac:dyDescent="0.25">
      <c r="A7256" t="s">
        <v>679</v>
      </c>
      <c r="B7256" t="s">
        <v>28</v>
      </c>
      <c r="C7256" s="5" t="str">
        <f t="shared" ref="C7256:C7257" si="291">" кв. "&amp;B7256</f>
        <v xml:space="preserve"> кв. 24</v>
      </c>
      <c r="D7256" s="5" t="str">
        <f>CONCATENATE(A7256,C7256)</f>
        <v>Ленинградское шоссе, дом 108 к.2 кв. 24</v>
      </c>
      <c r="E7256" s="3">
        <f>HYPERLINK("https://sao.dolgi.msk.ru/account/1404261439/", 1404261439)</f>
        <v>1404261439</v>
      </c>
      <c r="F7256">
        <v>2346.9499999999998</v>
      </c>
    </row>
    <row r="7257" spans="1:6" x14ac:dyDescent="0.25">
      <c r="A7257" t="s">
        <v>679</v>
      </c>
      <c r="B7257" t="s">
        <v>29</v>
      </c>
      <c r="C7257" s="5" t="str">
        <f t="shared" si="291"/>
        <v xml:space="preserve"> кв. 25</v>
      </c>
      <c r="D7257" s="5" t="str">
        <f>CONCATENATE(A7257,C7257)</f>
        <v>Ленинградское шоссе, дом 108 к.2 кв. 25</v>
      </c>
      <c r="E7257" s="3">
        <f>HYPERLINK("https://sao.dolgi.msk.ru/account/1404262183/", 1404262183)</f>
        <v>1404262183</v>
      </c>
      <c r="F7257">
        <v>2353.27</v>
      </c>
    </row>
    <row r="7258" spans="1:6" hidden="1" x14ac:dyDescent="0.25">
      <c r="A7258" t="s">
        <v>679</v>
      </c>
      <c r="B7258" t="s">
        <v>30</v>
      </c>
      <c r="E7258" s="3">
        <f>HYPERLINK("https://sao.dolgi.msk.ru/account/1404260823/", 1404260823)</f>
        <v>1404260823</v>
      </c>
      <c r="F7258">
        <v>0</v>
      </c>
    </row>
    <row r="7259" spans="1:6" hidden="1" x14ac:dyDescent="0.25">
      <c r="A7259" t="s">
        <v>679</v>
      </c>
      <c r="B7259" t="s">
        <v>31</v>
      </c>
      <c r="E7259" s="3">
        <f>HYPERLINK("https://sao.dolgi.msk.ru/account/1404261033/", 1404261033)</f>
        <v>1404261033</v>
      </c>
      <c r="F7259">
        <v>0</v>
      </c>
    </row>
    <row r="7260" spans="1:6" hidden="1" x14ac:dyDescent="0.25">
      <c r="A7260" t="s">
        <v>679</v>
      </c>
      <c r="B7260" t="s">
        <v>32</v>
      </c>
      <c r="E7260" s="3">
        <f>HYPERLINK("https://sao.dolgi.msk.ru/account/1404262386/", 1404262386)</f>
        <v>1404262386</v>
      </c>
      <c r="F7260">
        <v>-3429.57</v>
      </c>
    </row>
    <row r="7261" spans="1:6" x14ac:dyDescent="0.25">
      <c r="A7261" t="s">
        <v>679</v>
      </c>
      <c r="B7261" t="s">
        <v>33</v>
      </c>
      <c r="C7261" s="5" t="str">
        <f>" кв. "&amp;B7261</f>
        <v xml:space="preserve"> кв. 29</v>
      </c>
      <c r="D7261" s="5" t="str">
        <f>CONCATENATE(A7261,C7261)</f>
        <v>Ленинградское шоссе, дом 108 к.2 кв. 29</v>
      </c>
      <c r="E7261" s="3">
        <f>HYPERLINK("https://sao.dolgi.msk.ru/account/1404260831/", 1404260831)</f>
        <v>1404260831</v>
      </c>
      <c r="F7261">
        <v>2356.44</v>
      </c>
    </row>
    <row r="7262" spans="1:6" hidden="1" x14ac:dyDescent="0.25">
      <c r="A7262" t="s">
        <v>679</v>
      </c>
      <c r="B7262" t="s">
        <v>34</v>
      </c>
      <c r="E7262" s="3">
        <f>HYPERLINK("https://sao.dolgi.msk.ru/account/1404261113/", 1404261113)</f>
        <v>1404261113</v>
      </c>
      <c r="F7262">
        <v>-2477.4299999999998</v>
      </c>
    </row>
    <row r="7263" spans="1:6" hidden="1" x14ac:dyDescent="0.25">
      <c r="A7263" t="s">
        <v>679</v>
      </c>
      <c r="B7263" t="s">
        <v>35</v>
      </c>
      <c r="E7263" s="3">
        <f>HYPERLINK("https://sao.dolgi.msk.ru/account/1404261826/", 1404261826)</f>
        <v>1404261826</v>
      </c>
      <c r="F7263">
        <v>-4522.42</v>
      </c>
    </row>
    <row r="7264" spans="1:6" hidden="1" x14ac:dyDescent="0.25">
      <c r="A7264" t="s">
        <v>679</v>
      </c>
      <c r="B7264" t="s">
        <v>36</v>
      </c>
      <c r="E7264" s="3">
        <f>HYPERLINK("https://sao.dolgi.msk.ru/account/1404261447/", 1404261447)</f>
        <v>1404261447</v>
      </c>
      <c r="F7264">
        <v>-4614.7700000000004</v>
      </c>
    </row>
    <row r="7265" spans="1:6" x14ac:dyDescent="0.25">
      <c r="A7265" t="s">
        <v>679</v>
      </c>
      <c r="B7265" t="s">
        <v>37</v>
      </c>
      <c r="C7265" s="5" t="str">
        <f t="shared" ref="C7265:C7266" si="292">" кв. "&amp;B7265</f>
        <v xml:space="preserve"> кв. 33</v>
      </c>
      <c r="D7265" s="5" t="str">
        <f>CONCATENATE(A7265,C7265)</f>
        <v>Ленинградское шоссе, дом 108 к.2 кв. 33</v>
      </c>
      <c r="E7265" s="3">
        <f>HYPERLINK("https://sao.dolgi.msk.ru/account/1404260727/", 1404260727)</f>
        <v>1404260727</v>
      </c>
      <c r="F7265">
        <v>2350.11</v>
      </c>
    </row>
    <row r="7266" spans="1:6" x14ac:dyDescent="0.25">
      <c r="A7266" t="s">
        <v>679</v>
      </c>
      <c r="B7266" t="s">
        <v>38</v>
      </c>
      <c r="C7266" s="5" t="str">
        <f t="shared" si="292"/>
        <v xml:space="preserve"> кв. 34</v>
      </c>
      <c r="D7266" s="5" t="str">
        <f>CONCATENATE(A7266,C7266)</f>
        <v>Ленинградское шоссе, дом 108 к.2 кв. 34</v>
      </c>
      <c r="E7266" s="3">
        <f>HYPERLINK("https://sao.dolgi.msk.ru/account/1404260735/", 1404260735)</f>
        <v>1404260735</v>
      </c>
      <c r="F7266">
        <v>1031.1400000000001</v>
      </c>
    </row>
    <row r="7267" spans="1:6" hidden="1" x14ac:dyDescent="0.25">
      <c r="A7267" t="s">
        <v>679</v>
      </c>
      <c r="B7267" t="s">
        <v>39</v>
      </c>
      <c r="E7267" s="3">
        <f>HYPERLINK("https://sao.dolgi.msk.ru/account/1404262191/", 1404262191)</f>
        <v>1404262191</v>
      </c>
      <c r="F7267">
        <v>-2477.4299999999998</v>
      </c>
    </row>
    <row r="7268" spans="1:6" hidden="1" x14ac:dyDescent="0.25">
      <c r="A7268" t="s">
        <v>679</v>
      </c>
      <c r="B7268" t="s">
        <v>40</v>
      </c>
      <c r="E7268" s="3">
        <f>HYPERLINK("https://sao.dolgi.msk.ru/account/1404261252/", 1404261252)</f>
        <v>1404261252</v>
      </c>
      <c r="F7268">
        <v>-3429.57</v>
      </c>
    </row>
    <row r="7269" spans="1:6" hidden="1" x14ac:dyDescent="0.25">
      <c r="A7269" t="s">
        <v>679</v>
      </c>
      <c r="B7269" t="s">
        <v>41</v>
      </c>
      <c r="E7269" s="3">
        <f>HYPERLINK("https://sao.dolgi.msk.ru/account/1404260997/", 1404260997)</f>
        <v>1404260997</v>
      </c>
      <c r="F7269">
        <v>-3443.44</v>
      </c>
    </row>
    <row r="7270" spans="1:6" hidden="1" x14ac:dyDescent="0.25">
      <c r="A7270" t="s">
        <v>679</v>
      </c>
      <c r="B7270" t="s">
        <v>42</v>
      </c>
      <c r="E7270" s="3">
        <f>HYPERLINK("https://sao.dolgi.msk.ru/account/1404261914/", 1404261914)</f>
        <v>1404261914</v>
      </c>
      <c r="F7270">
        <v>0</v>
      </c>
    </row>
    <row r="7271" spans="1:6" hidden="1" x14ac:dyDescent="0.25">
      <c r="A7271" t="s">
        <v>679</v>
      </c>
      <c r="B7271" t="s">
        <v>43</v>
      </c>
      <c r="E7271" s="3">
        <f>HYPERLINK("https://sao.dolgi.msk.ru/account/1404261279/", 1404261279)</f>
        <v>1404261279</v>
      </c>
      <c r="F7271">
        <v>-2078.6</v>
      </c>
    </row>
    <row r="7272" spans="1:6" hidden="1" x14ac:dyDescent="0.25">
      <c r="A7272" t="s">
        <v>679</v>
      </c>
      <c r="B7272" t="s">
        <v>44</v>
      </c>
      <c r="E7272" s="3">
        <f>HYPERLINK("https://sao.dolgi.msk.ru/account/1404261009/", 1404261009)</f>
        <v>1404261009</v>
      </c>
      <c r="F7272">
        <v>-3253.5</v>
      </c>
    </row>
    <row r="7273" spans="1:6" hidden="1" x14ac:dyDescent="0.25">
      <c r="A7273" t="s">
        <v>679</v>
      </c>
      <c r="B7273" t="s">
        <v>45</v>
      </c>
      <c r="E7273" s="3">
        <f>HYPERLINK("https://sao.dolgi.msk.ru/account/1404262351/", 1404262351)</f>
        <v>1404262351</v>
      </c>
      <c r="F7273">
        <v>0</v>
      </c>
    </row>
    <row r="7274" spans="1:6" hidden="1" x14ac:dyDescent="0.25">
      <c r="A7274" t="s">
        <v>679</v>
      </c>
      <c r="B7274" t="s">
        <v>46</v>
      </c>
      <c r="E7274" s="3">
        <f>HYPERLINK("https://sao.dolgi.msk.ru/account/1404260794/", 1404260794)</f>
        <v>1404260794</v>
      </c>
      <c r="F7274">
        <v>-389.58</v>
      </c>
    </row>
    <row r="7275" spans="1:6" hidden="1" x14ac:dyDescent="0.25">
      <c r="A7275" t="s">
        <v>679</v>
      </c>
      <c r="B7275" t="s">
        <v>46</v>
      </c>
      <c r="E7275" s="3">
        <f>HYPERLINK("https://sao.dolgi.msk.ru/account/1404260911/", 1404260911)</f>
        <v>1404260911</v>
      </c>
      <c r="F7275">
        <v>-389.58</v>
      </c>
    </row>
    <row r="7276" spans="1:6" hidden="1" x14ac:dyDescent="0.25">
      <c r="A7276" t="s">
        <v>679</v>
      </c>
      <c r="B7276" t="s">
        <v>47</v>
      </c>
      <c r="E7276" s="3">
        <f>HYPERLINK("https://sao.dolgi.msk.ru/account/1404262378/", 1404262378)</f>
        <v>1404262378</v>
      </c>
      <c r="F7276">
        <v>0</v>
      </c>
    </row>
    <row r="7277" spans="1:6" x14ac:dyDescent="0.25">
      <c r="A7277" t="s">
        <v>679</v>
      </c>
      <c r="B7277" t="s">
        <v>48</v>
      </c>
      <c r="C7277" s="5" t="str">
        <f>" кв. "&amp;B7277</f>
        <v xml:space="preserve"> кв. 44</v>
      </c>
      <c r="D7277" s="5" t="str">
        <f>CONCATENATE(A7277,C7277)</f>
        <v>Ленинградское шоссе, дом 108 к.2 кв. 44</v>
      </c>
      <c r="E7277" s="3">
        <f>HYPERLINK("https://sao.dolgi.msk.ru/account/1404262335/", 1404262335)</f>
        <v>1404262335</v>
      </c>
      <c r="F7277">
        <v>2343.7800000000002</v>
      </c>
    </row>
    <row r="7278" spans="1:6" hidden="1" x14ac:dyDescent="0.25">
      <c r="A7278" t="s">
        <v>679</v>
      </c>
      <c r="B7278" t="s">
        <v>49</v>
      </c>
      <c r="E7278" s="3">
        <f>HYPERLINK("https://sao.dolgi.msk.ru/account/1404261818/", 1404261818)</f>
        <v>1404261818</v>
      </c>
      <c r="F7278">
        <v>-2899.94</v>
      </c>
    </row>
    <row r="7279" spans="1:6" hidden="1" x14ac:dyDescent="0.25">
      <c r="A7279" t="s">
        <v>679</v>
      </c>
      <c r="B7279" t="s">
        <v>50</v>
      </c>
      <c r="E7279" s="3">
        <f>HYPERLINK("https://sao.dolgi.msk.ru/account/1404261148/", 1404261148)</f>
        <v>1404261148</v>
      </c>
      <c r="F7279">
        <v>0</v>
      </c>
    </row>
    <row r="7280" spans="1:6" hidden="1" x14ac:dyDescent="0.25">
      <c r="A7280" t="s">
        <v>679</v>
      </c>
      <c r="B7280" t="s">
        <v>51</v>
      </c>
      <c r="E7280" s="3">
        <f>HYPERLINK("https://sao.dolgi.msk.ru/account/1404262343/", 1404262343)</f>
        <v>1404262343</v>
      </c>
      <c r="F7280">
        <v>-1567.84</v>
      </c>
    </row>
    <row r="7281" spans="1:6" hidden="1" x14ac:dyDescent="0.25">
      <c r="A7281" t="s">
        <v>679</v>
      </c>
      <c r="B7281" t="s">
        <v>52</v>
      </c>
      <c r="E7281" s="3">
        <f>HYPERLINK("https://sao.dolgi.msk.ru/account/1404261762/", 1404261762)</f>
        <v>1404261762</v>
      </c>
      <c r="F7281">
        <v>-2896.03</v>
      </c>
    </row>
    <row r="7282" spans="1:6" hidden="1" x14ac:dyDescent="0.25">
      <c r="A7282" t="s">
        <v>679</v>
      </c>
      <c r="B7282" t="s">
        <v>53</v>
      </c>
      <c r="E7282" s="3">
        <f>HYPERLINK("https://sao.dolgi.msk.ru/account/1404262431/", 1404262431)</f>
        <v>1404262431</v>
      </c>
      <c r="F7282">
        <v>0</v>
      </c>
    </row>
    <row r="7283" spans="1:6" x14ac:dyDescent="0.25">
      <c r="A7283" t="s">
        <v>679</v>
      </c>
      <c r="B7283" t="s">
        <v>54</v>
      </c>
      <c r="C7283" s="5" t="str">
        <f>" кв. "&amp;B7283</f>
        <v xml:space="preserve"> кв. 50</v>
      </c>
      <c r="D7283" s="5" t="str">
        <f>CONCATENATE(A7283,C7283)</f>
        <v>Ленинградское шоссе, дом 108 к.2 кв. 50</v>
      </c>
      <c r="E7283" s="3">
        <f>HYPERLINK("https://sao.dolgi.msk.ru/account/1404261789/", 1404261789)</f>
        <v>1404261789</v>
      </c>
      <c r="F7283">
        <v>943.4</v>
      </c>
    </row>
    <row r="7284" spans="1:6" hidden="1" x14ac:dyDescent="0.25">
      <c r="A7284" t="s">
        <v>679</v>
      </c>
      <c r="B7284" t="s">
        <v>55</v>
      </c>
      <c r="E7284" s="3">
        <f>HYPERLINK("https://sao.dolgi.msk.ru/account/1404260479/", 1404260479)</f>
        <v>1404260479</v>
      </c>
      <c r="F7284">
        <v>-1466.93</v>
      </c>
    </row>
    <row r="7285" spans="1:6" x14ac:dyDescent="0.25">
      <c r="A7285" t="s">
        <v>679</v>
      </c>
      <c r="B7285" t="s">
        <v>56</v>
      </c>
      <c r="C7285" s="5" t="str">
        <f>" кв. "&amp;B7285</f>
        <v xml:space="preserve"> кв. 52</v>
      </c>
      <c r="D7285" s="5" t="str">
        <f>CONCATENATE(A7285,C7285)</f>
        <v>Ленинградское шоссе, дом 108 к.2 кв. 52</v>
      </c>
      <c r="E7285" s="3">
        <f>HYPERLINK("https://sao.dolgi.msk.ru/account/1404261404/", 1404261404)</f>
        <v>1404261404</v>
      </c>
      <c r="F7285">
        <v>1849.7</v>
      </c>
    </row>
    <row r="7286" spans="1:6" hidden="1" x14ac:dyDescent="0.25">
      <c r="A7286" t="s">
        <v>679</v>
      </c>
      <c r="B7286" t="s">
        <v>57</v>
      </c>
      <c r="E7286" s="3">
        <f>HYPERLINK("https://sao.dolgi.msk.ru/account/1404262124/", 1404262124)</f>
        <v>1404262124</v>
      </c>
      <c r="F7286">
        <v>-2829.86</v>
      </c>
    </row>
    <row r="7287" spans="1:6" hidden="1" x14ac:dyDescent="0.25">
      <c r="A7287" t="s">
        <v>679</v>
      </c>
      <c r="B7287" t="s">
        <v>58</v>
      </c>
      <c r="E7287" s="3">
        <f>HYPERLINK("https://sao.dolgi.msk.ru/account/1404261949/", 1404261949)</f>
        <v>1404261949</v>
      </c>
      <c r="F7287">
        <v>-1719.41</v>
      </c>
    </row>
    <row r="7288" spans="1:6" hidden="1" x14ac:dyDescent="0.25">
      <c r="A7288" t="s">
        <v>679</v>
      </c>
      <c r="B7288" t="s">
        <v>59</v>
      </c>
      <c r="E7288" s="3">
        <f>HYPERLINK("https://sao.dolgi.msk.ru/account/1404261957/", 1404261957)</f>
        <v>1404261957</v>
      </c>
      <c r="F7288">
        <v>-2468.1799999999998</v>
      </c>
    </row>
    <row r="7289" spans="1:6" hidden="1" x14ac:dyDescent="0.25">
      <c r="A7289" t="s">
        <v>679</v>
      </c>
      <c r="B7289" t="s">
        <v>60</v>
      </c>
      <c r="E7289" s="3">
        <f>HYPERLINK("https://sao.dolgi.msk.ru/account/1404261308/", 1404261308)</f>
        <v>1404261308</v>
      </c>
      <c r="F7289">
        <v>-2547.71</v>
      </c>
    </row>
    <row r="7290" spans="1:6" x14ac:dyDescent="0.25">
      <c r="A7290" t="s">
        <v>679</v>
      </c>
      <c r="B7290" t="s">
        <v>61</v>
      </c>
      <c r="C7290" s="5" t="str">
        <f>" кв. "&amp;B7290</f>
        <v xml:space="preserve"> кв. 57</v>
      </c>
      <c r="D7290" s="5" t="str">
        <f>CONCATENATE(A7290,C7290)</f>
        <v>Ленинградское шоссе, дом 108 к.2 кв. 57</v>
      </c>
      <c r="E7290" s="3">
        <f>HYPERLINK("https://sao.dolgi.msk.ru/account/1404261316/", 1404261316)</f>
        <v>1404261316</v>
      </c>
      <c r="F7290">
        <v>2299.5</v>
      </c>
    </row>
    <row r="7291" spans="1:6" hidden="1" x14ac:dyDescent="0.25">
      <c r="A7291" t="s">
        <v>679</v>
      </c>
      <c r="B7291" t="s">
        <v>62</v>
      </c>
      <c r="E7291" s="3">
        <f>HYPERLINK("https://sao.dolgi.msk.ru/account/1404260743/", 1404260743)</f>
        <v>1404260743</v>
      </c>
      <c r="F7291">
        <v>0</v>
      </c>
    </row>
    <row r="7292" spans="1:6" x14ac:dyDescent="0.25">
      <c r="A7292" t="s">
        <v>679</v>
      </c>
      <c r="B7292" t="s">
        <v>63</v>
      </c>
      <c r="C7292" s="5" t="str">
        <f t="shared" ref="C7292:C7293" si="293">" кв. "&amp;B7292</f>
        <v xml:space="preserve"> кв. 59</v>
      </c>
      <c r="D7292" s="5" t="str">
        <f>CONCATENATE(A7292,C7292)</f>
        <v>Ленинградское шоссе, дом 108 к.2 кв. 59</v>
      </c>
      <c r="E7292" s="3">
        <f>HYPERLINK("https://sao.dolgi.msk.ru/account/1404261412/", 1404261412)</f>
        <v>1404261412</v>
      </c>
      <c r="F7292">
        <v>1692.21</v>
      </c>
    </row>
    <row r="7293" spans="1:6" x14ac:dyDescent="0.25">
      <c r="A7293" t="s">
        <v>679</v>
      </c>
      <c r="B7293" t="s">
        <v>64</v>
      </c>
      <c r="C7293" s="5" t="str">
        <f t="shared" si="293"/>
        <v xml:space="preserve"> кв. 60</v>
      </c>
      <c r="D7293" s="5" t="str">
        <f>CONCATENATE(A7293,C7293)</f>
        <v>Ленинградское шоссе, дом 108 к.2 кв. 60</v>
      </c>
      <c r="E7293" s="3">
        <f>HYPERLINK("https://sao.dolgi.msk.ru/account/1404260487/", 1404260487)</f>
        <v>1404260487</v>
      </c>
      <c r="F7293">
        <v>2359.6</v>
      </c>
    </row>
    <row r="7294" spans="1:6" hidden="1" x14ac:dyDescent="0.25">
      <c r="A7294" t="s">
        <v>679</v>
      </c>
      <c r="B7294" t="s">
        <v>65</v>
      </c>
      <c r="E7294" s="3">
        <f>HYPERLINK("https://sao.dolgi.msk.ru/account/1404261965/", 1404261965)</f>
        <v>1404261965</v>
      </c>
      <c r="F7294">
        <v>-2261.19</v>
      </c>
    </row>
    <row r="7295" spans="1:6" hidden="1" x14ac:dyDescent="0.25">
      <c r="A7295" t="s">
        <v>679</v>
      </c>
      <c r="B7295" t="s">
        <v>66</v>
      </c>
      <c r="E7295" s="3">
        <f>HYPERLINK("https://sao.dolgi.msk.ru/account/1404262132/", 1404262132)</f>
        <v>1404262132</v>
      </c>
      <c r="F7295">
        <v>-2477.4299999999998</v>
      </c>
    </row>
    <row r="7296" spans="1:6" x14ac:dyDescent="0.25">
      <c r="A7296" t="s">
        <v>679</v>
      </c>
      <c r="B7296" t="s">
        <v>67</v>
      </c>
      <c r="C7296" s="5" t="str">
        <f t="shared" ref="C7296:C7297" si="294">" кв. "&amp;B7296</f>
        <v xml:space="preserve"> кв. 63</v>
      </c>
      <c r="D7296" s="5" t="str">
        <f>CONCATENATE(A7296,C7296)</f>
        <v>Ленинградское шоссе, дом 108 к.2 кв. 63</v>
      </c>
      <c r="E7296" s="3">
        <f>HYPERLINK("https://sao.dolgi.msk.ru/account/1404262159/", 1404262159)</f>
        <v>1404262159</v>
      </c>
      <c r="F7296">
        <v>1692.21</v>
      </c>
    </row>
    <row r="7297" spans="1:6" x14ac:dyDescent="0.25">
      <c r="A7297" t="s">
        <v>679</v>
      </c>
      <c r="B7297" t="s">
        <v>68</v>
      </c>
      <c r="C7297" s="5" t="str">
        <f t="shared" si="294"/>
        <v xml:space="preserve"> кв. 64</v>
      </c>
      <c r="D7297" s="5" t="str">
        <f>CONCATENATE(A7297,C7297)</f>
        <v>Ленинградское шоссе, дом 108 к.2 кв. 64</v>
      </c>
      <c r="E7297" s="3">
        <f>HYPERLINK("https://sao.dolgi.msk.ru/account/1404260815/", 1404260815)</f>
        <v>1404260815</v>
      </c>
      <c r="F7297">
        <v>2353.27</v>
      </c>
    </row>
    <row r="7298" spans="1:6" hidden="1" x14ac:dyDescent="0.25">
      <c r="A7298" t="s">
        <v>679</v>
      </c>
      <c r="B7298" t="s">
        <v>69</v>
      </c>
      <c r="E7298" s="3">
        <f>HYPERLINK("https://sao.dolgi.msk.ru/account/1404262167/", 1404262167)</f>
        <v>1404262167</v>
      </c>
      <c r="F7298">
        <v>0</v>
      </c>
    </row>
    <row r="7299" spans="1:6" hidden="1" x14ac:dyDescent="0.25">
      <c r="A7299" t="s">
        <v>679</v>
      </c>
      <c r="B7299" t="s">
        <v>70</v>
      </c>
      <c r="E7299" s="3">
        <f>HYPERLINK("https://sao.dolgi.msk.ru/account/1404262562/", 1404262562)</f>
        <v>1404262562</v>
      </c>
      <c r="F7299">
        <v>-2477.4299999999998</v>
      </c>
    </row>
    <row r="7300" spans="1:6" hidden="1" x14ac:dyDescent="0.25">
      <c r="A7300" t="s">
        <v>679</v>
      </c>
      <c r="B7300" t="s">
        <v>71</v>
      </c>
      <c r="E7300" s="3">
        <f>HYPERLINK("https://sao.dolgi.msk.ru/account/1404260575/", 1404260575)</f>
        <v>1404260575</v>
      </c>
      <c r="F7300">
        <v>-1572.46</v>
      </c>
    </row>
    <row r="7301" spans="1:6" hidden="1" x14ac:dyDescent="0.25">
      <c r="A7301" t="s">
        <v>679</v>
      </c>
      <c r="B7301" t="s">
        <v>72</v>
      </c>
      <c r="E7301" s="3">
        <f>HYPERLINK("https://sao.dolgi.msk.ru/account/1404261922/", 1404261922)</f>
        <v>1404261922</v>
      </c>
      <c r="F7301">
        <v>-3443.44</v>
      </c>
    </row>
    <row r="7302" spans="1:6" hidden="1" x14ac:dyDescent="0.25">
      <c r="A7302" t="s">
        <v>679</v>
      </c>
      <c r="B7302" t="s">
        <v>73</v>
      </c>
      <c r="E7302" s="3">
        <f>HYPERLINK("https://sao.dolgi.msk.ru/account/1404262503/", 1404262503)</f>
        <v>1404262503</v>
      </c>
      <c r="F7302">
        <v>-2903.81</v>
      </c>
    </row>
    <row r="7303" spans="1:6" hidden="1" x14ac:dyDescent="0.25">
      <c r="A7303" t="s">
        <v>679</v>
      </c>
      <c r="B7303" t="s">
        <v>74</v>
      </c>
      <c r="E7303" s="3">
        <f>HYPERLINK("https://sao.dolgi.msk.ru/account/1404261607/", 1404261607)</f>
        <v>1404261607</v>
      </c>
      <c r="F7303">
        <v>0</v>
      </c>
    </row>
    <row r="7304" spans="1:6" hidden="1" x14ac:dyDescent="0.25">
      <c r="A7304" t="s">
        <v>679</v>
      </c>
      <c r="B7304" t="s">
        <v>75</v>
      </c>
      <c r="E7304" s="3">
        <f>HYPERLINK("https://sao.dolgi.msk.ru/account/1404261287/", 1404261287)</f>
        <v>1404261287</v>
      </c>
      <c r="F7304">
        <v>-1710.17</v>
      </c>
    </row>
    <row r="7305" spans="1:6" hidden="1" x14ac:dyDescent="0.25">
      <c r="A7305" t="s">
        <v>679</v>
      </c>
      <c r="B7305" t="s">
        <v>76</v>
      </c>
      <c r="E7305" s="3">
        <f>HYPERLINK("https://sao.dolgi.msk.ru/account/1404262511/", 1404262511)</f>
        <v>1404262511</v>
      </c>
      <c r="F7305">
        <v>0</v>
      </c>
    </row>
    <row r="7306" spans="1:6" hidden="1" x14ac:dyDescent="0.25">
      <c r="A7306" t="s">
        <v>679</v>
      </c>
      <c r="B7306" t="s">
        <v>77</v>
      </c>
      <c r="E7306" s="3">
        <f>HYPERLINK("https://sao.dolgi.msk.ru/account/1404262175/", 1404262175)</f>
        <v>1404262175</v>
      </c>
      <c r="F7306">
        <v>-3443.44</v>
      </c>
    </row>
    <row r="7307" spans="1:6" hidden="1" x14ac:dyDescent="0.25">
      <c r="A7307" t="s">
        <v>679</v>
      </c>
      <c r="B7307" t="s">
        <v>78</v>
      </c>
      <c r="E7307" s="3">
        <f>HYPERLINK("https://sao.dolgi.msk.ru/account/1404260559/", 1404260559)</f>
        <v>1404260559</v>
      </c>
      <c r="F7307">
        <v>-2477.4299999999998</v>
      </c>
    </row>
    <row r="7308" spans="1:6" hidden="1" x14ac:dyDescent="0.25">
      <c r="A7308" t="s">
        <v>679</v>
      </c>
      <c r="B7308" t="s">
        <v>79</v>
      </c>
      <c r="E7308" s="3">
        <f>HYPERLINK("https://sao.dolgi.msk.ru/account/1404261164/", 1404261164)</f>
        <v>1404261164</v>
      </c>
      <c r="F7308">
        <v>0</v>
      </c>
    </row>
    <row r="7309" spans="1:6" hidden="1" x14ac:dyDescent="0.25">
      <c r="A7309" t="s">
        <v>679</v>
      </c>
      <c r="B7309" t="s">
        <v>80</v>
      </c>
      <c r="E7309" s="3">
        <f>HYPERLINK("https://sao.dolgi.msk.ru/account/1404262423/", 1404262423)</f>
        <v>1404262423</v>
      </c>
      <c r="F7309">
        <v>-2448.09</v>
      </c>
    </row>
    <row r="7310" spans="1:6" hidden="1" x14ac:dyDescent="0.25">
      <c r="A7310" t="s">
        <v>679</v>
      </c>
      <c r="B7310" t="s">
        <v>81</v>
      </c>
      <c r="E7310" s="3">
        <f>HYPERLINK("https://sao.dolgi.msk.ru/account/1404260903/", 1404260903)</f>
        <v>1404260903</v>
      </c>
      <c r="F7310">
        <v>-1089.92</v>
      </c>
    </row>
    <row r="7311" spans="1:6" x14ac:dyDescent="0.25">
      <c r="A7311" t="s">
        <v>679</v>
      </c>
      <c r="B7311" t="s">
        <v>82</v>
      </c>
      <c r="C7311" s="5" t="str">
        <f>" кв. "&amp;B7311</f>
        <v xml:space="preserve"> кв. 78</v>
      </c>
      <c r="D7311" s="5" t="str">
        <f>CONCATENATE(A7311,C7311)</f>
        <v>Ленинградское шоссе, дом 108 к.2 кв. 78</v>
      </c>
      <c r="E7311" s="3">
        <f>HYPERLINK("https://sao.dolgi.msk.ru/account/1404261244/", 1404261244)</f>
        <v>1404261244</v>
      </c>
      <c r="F7311">
        <v>1698.53</v>
      </c>
    </row>
    <row r="7312" spans="1:6" hidden="1" x14ac:dyDescent="0.25">
      <c r="A7312" t="s">
        <v>679</v>
      </c>
      <c r="B7312" t="s">
        <v>83</v>
      </c>
      <c r="E7312" s="3">
        <f>HYPERLINK("https://sao.dolgi.msk.ru/account/1404261543/", 1404261543)</f>
        <v>1404261543</v>
      </c>
      <c r="F7312">
        <v>-2468.1799999999998</v>
      </c>
    </row>
    <row r="7313" spans="1:6" hidden="1" x14ac:dyDescent="0.25">
      <c r="A7313" t="s">
        <v>679</v>
      </c>
      <c r="B7313" t="s">
        <v>84</v>
      </c>
      <c r="E7313" s="3">
        <f>HYPERLINK("https://sao.dolgi.msk.ru/account/1404262474/", 1404262474)</f>
        <v>1404262474</v>
      </c>
      <c r="F7313">
        <v>-3526.63</v>
      </c>
    </row>
    <row r="7314" spans="1:6" hidden="1" x14ac:dyDescent="0.25">
      <c r="A7314" t="s">
        <v>679</v>
      </c>
      <c r="B7314" t="s">
        <v>85</v>
      </c>
      <c r="E7314" s="3">
        <f>HYPERLINK("https://sao.dolgi.msk.ru/account/1404260612/", 1404260612)</f>
        <v>1404260612</v>
      </c>
      <c r="F7314">
        <v>0</v>
      </c>
    </row>
    <row r="7315" spans="1:6" hidden="1" x14ac:dyDescent="0.25">
      <c r="A7315" t="s">
        <v>679</v>
      </c>
      <c r="B7315" t="s">
        <v>86</v>
      </c>
      <c r="E7315" s="3">
        <f>HYPERLINK("https://sao.dolgi.msk.ru/account/1404261893/", 1404261893)</f>
        <v>1404261893</v>
      </c>
      <c r="F7315">
        <v>-2472.81</v>
      </c>
    </row>
    <row r="7316" spans="1:6" hidden="1" x14ac:dyDescent="0.25">
      <c r="A7316" t="s">
        <v>679</v>
      </c>
      <c r="B7316" t="s">
        <v>87</v>
      </c>
      <c r="E7316" s="3">
        <f>HYPERLINK("https://sao.dolgi.msk.ru/account/1404261551/", 1404261551)</f>
        <v>1404261551</v>
      </c>
      <c r="F7316">
        <v>-2472.81</v>
      </c>
    </row>
    <row r="7317" spans="1:6" hidden="1" x14ac:dyDescent="0.25">
      <c r="A7317" t="s">
        <v>679</v>
      </c>
      <c r="B7317" t="s">
        <v>88</v>
      </c>
      <c r="E7317" s="3">
        <f>HYPERLINK("https://sao.dolgi.msk.ru/account/1404262765/", 1404262765)</f>
        <v>1404262765</v>
      </c>
      <c r="F7317">
        <v>-3522.01</v>
      </c>
    </row>
    <row r="7318" spans="1:6" hidden="1" x14ac:dyDescent="0.25">
      <c r="A7318" t="s">
        <v>679</v>
      </c>
      <c r="B7318" t="s">
        <v>89</v>
      </c>
      <c r="E7318" s="3">
        <f>HYPERLINK("https://sao.dolgi.msk.ru/account/1404261324/", 1404261324)</f>
        <v>1404261324</v>
      </c>
      <c r="F7318">
        <v>-3452.68</v>
      </c>
    </row>
    <row r="7319" spans="1:6" x14ac:dyDescent="0.25">
      <c r="A7319" t="s">
        <v>679</v>
      </c>
      <c r="B7319" t="s">
        <v>90</v>
      </c>
      <c r="C7319" s="5" t="str">
        <f>" кв. "&amp;B7319</f>
        <v xml:space="preserve"> кв. 86</v>
      </c>
      <c r="D7319" s="5" t="str">
        <f>CONCATENATE(A7319,C7319)</f>
        <v>Ленинградское шоссе, дом 108 к.2 кв. 86</v>
      </c>
      <c r="E7319" s="3">
        <f>HYPERLINK("https://sao.dolgi.msk.ru/account/1404261906/", 1404261906)</f>
        <v>1404261906</v>
      </c>
      <c r="F7319">
        <v>1176.6300000000001</v>
      </c>
    </row>
    <row r="7320" spans="1:6" hidden="1" x14ac:dyDescent="0.25">
      <c r="A7320" t="s">
        <v>679</v>
      </c>
      <c r="B7320" t="s">
        <v>91</v>
      </c>
      <c r="E7320" s="3">
        <f>HYPERLINK("https://sao.dolgi.msk.ru/account/1404262589/", 1404262589)</f>
        <v>1404262589</v>
      </c>
      <c r="F7320">
        <v>-1236.4100000000001</v>
      </c>
    </row>
    <row r="7321" spans="1:6" hidden="1" x14ac:dyDescent="0.25">
      <c r="A7321" t="s">
        <v>679</v>
      </c>
      <c r="B7321" t="s">
        <v>92</v>
      </c>
      <c r="E7321" s="3">
        <f>HYPERLINK("https://sao.dolgi.msk.ru/account/1404261332/", 1404261332)</f>
        <v>1404261332</v>
      </c>
      <c r="F7321">
        <v>-3526.63</v>
      </c>
    </row>
    <row r="7322" spans="1:6" hidden="1" x14ac:dyDescent="0.25">
      <c r="A7322" t="s">
        <v>679</v>
      </c>
      <c r="B7322" t="s">
        <v>93</v>
      </c>
      <c r="E7322" s="3">
        <f>HYPERLINK("https://sao.dolgi.msk.ru/account/1404260495/", 1404260495)</f>
        <v>1404260495</v>
      </c>
      <c r="F7322">
        <v>-3089.38</v>
      </c>
    </row>
    <row r="7323" spans="1:6" hidden="1" x14ac:dyDescent="0.25">
      <c r="A7323" t="s">
        <v>679</v>
      </c>
      <c r="B7323" t="s">
        <v>94</v>
      </c>
      <c r="E7323" s="3">
        <f>HYPERLINK("https://sao.dolgi.msk.ru/account/1404261041/", 1404261041)</f>
        <v>1404261041</v>
      </c>
      <c r="F7323">
        <v>0</v>
      </c>
    </row>
    <row r="7324" spans="1:6" x14ac:dyDescent="0.25">
      <c r="A7324" t="s">
        <v>679</v>
      </c>
      <c r="B7324" t="s">
        <v>95</v>
      </c>
      <c r="C7324" s="5" t="str">
        <f>" кв. "&amp;B7324</f>
        <v xml:space="preserve"> кв. 91</v>
      </c>
      <c r="D7324" s="5" t="str">
        <f>CONCATENATE(A7324,C7324)</f>
        <v>Ленинградское шоссе, дом 108 к.2 кв. 91</v>
      </c>
      <c r="E7324" s="3">
        <f>HYPERLINK("https://sao.dolgi.msk.ru/account/1404261068/", 1404261068)</f>
        <v>1404261068</v>
      </c>
      <c r="F7324">
        <v>1685.88</v>
      </c>
    </row>
    <row r="7325" spans="1:6" hidden="1" x14ac:dyDescent="0.25">
      <c r="A7325" t="s">
        <v>679</v>
      </c>
      <c r="B7325" t="s">
        <v>96</v>
      </c>
      <c r="E7325" s="3">
        <f>HYPERLINK("https://sao.dolgi.msk.ru/account/1404260647/", 1404260647)</f>
        <v>1404260647</v>
      </c>
      <c r="F7325">
        <v>0</v>
      </c>
    </row>
    <row r="7326" spans="1:6" hidden="1" x14ac:dyDescent="0.25">
      <c r="A7326" t="s">
        <v>679</v>
      </c>
      <c r="B7326" t="s">
        <v>97</v>
      </c>
      <c r="E7326" s="3">
        <f>HYPERLINK("https://sao.dolgi.msk.ru/account/1404260671/", 1404260671)</f>
        <v>1404260671</v>
      </c>
      <c r="F7326">
        <v>-3443.44</v>
      </c>
    </row>
    <row r="7327" spans="1:6" x14ac:dyDescent="0.25">
      <c r="A7327" t="s">
        <v>679</v>
      </c>
      <c r="B7327" t="s">
        <v>98</v>
      </c>
      <c r="C7327" s="5" t="str">
        <f>" кв. "&amp;B7327</f>
        <v xml:space="preserve"> кв. 94</v>
      </c>
      <c r="D7327" s="5" t="str">
        <f>CONCATENATE(A7327,C7327)</f>
        <v>Ленинградское шоссе, дом 108 к.2 кв. 94</v>
      </c>
      <c r="E7327" s="3">
        <f>HYPERLINK("https://sao.dolgi.msk.ru/account/1404261578/", 1404261578)</f>
        <v>1404261578</v>
      </c>
      <c r="F7327">
        <v>1170.31</v>
      </c>
    </row>
    <row r="7328" spans="1:6" hidden="1" x14ac:dyDescent="0.25">
      <c r="A7328" t="s">
        <v>679</v>
      </c>
      <c r="B7328" t="s">
        <v>99</v>
      </c>
      <c r="E7328" s="3">
        <f>HYPERLINK("https://sao.dolgi.msk.ru/account/1404260655/", 1404260655)</f>
        <v>1404260655</v>
      </c>
      <c r="F7328">
        <v>-782.06</v>
      </c>
    </row>
    <row r="7329" spans="1:6" hidden="1" x14ac:dyDescent="0.25">
      <c r="A7329" t="s">
        <v>679</v>
      </c>
      <c r="B7329" t="s">
        <v>100</v>
      </c>
      <c r="E7329" s="3">
        <f>HYPERLINK("https://sao.dolgi.msk.ru/account/1404260663/", 1404260663)</f>
        <v>1404260663</v>
      </c>
      <c r="F7329">
        <v>0</v>
      </c>
    </row>
    <row r="7330" spans="1:6" hidden="1" x14ac:dyDescent="0.25">
      <c r="A7330" t="s">
        <v>679</v>
      </c>
      <c r="B7330" t="s">
        <v>101</v>
      </c>
      <c r="E7330" s="3">
        <f>HYPERLINK("https://sao.dolgi.msk.ru/account/1404260989/", 1404260989)</f>
        <v>1404260989</v>
      </c>
      <c r="F7330">
        <v>-3438.81</v>
      </c>
    </row>
    <row r="7331" spans="1:6" hidden="1" x14ac:dyDescent="0.25">
      <c r="A7331" t="s">
        <v>679</v>
      </c>
      <c r="B7331" t="s">
        <v>102</v>
      </c>
      <c r="E7331" s="3">
        <f>HYPERLINK("https://sao.dolgi.msk.ru/account/1404262247/", 1404262247)</f>
        <v>1404262247</v>
      </c>
      <c r="F7331">
        <v>0</v>
      </c>
    </row>
    <row r="7332" spans="1:6" hidden="1" x14ac:dyDescent="0.25">
      <c r="A7332" t="s">
        <v>679</v>
      </c>
      <c r="B7332" t="s">
        <v>103</v>
      </c>
      <c r="E7332" s="3">
        <f>HYPERLINK("https://sao.dolgi.msk.ru/account/1404260604/", 1404260604)</f>
        <v>1404260604</v>
      </c>
      <c r="F7332">
        <v>-2086.39</v>
      </c>
    </row>
    <row r="7333" spans="1:6" hidden="1" x14ac:dyDescent="0.25">
      <c r="A7333" t="s">
        <v>679</v>
      </c>
      <c r="B7333" t="s">
        <v>104</v>
      </c>
      <c r="E7333" s="3">
        <f>HYPERLINK("https://sao.dolgi.msk.ru/account/1404261084/", 1404261084)</f>
        <v>1404261084</v>
      </c>
      <c r="F7333">
        <v>-3526.63</v>
      </c>
    </row>
    <row r="7334" spans="1:6" hidden="1" x14ac:dyDescent="0.25">
      <c r="A7334" t="s">
        <v>679</v>
      </c>
      <c r="B7334" t="s">
        <v>105</v>
      </c>
      <c r="E7334" s="3">
        <f>HYPERLINK("https://sao.dolgi.msk.ru/account/1404262255/", 1404262255)</f>
        <v>1404262255</v>
      </c>
      <c r="F7334">
        <v>-3175.94</v>
      </c>
    </row>
    <row r="7335" spans="1:6" hidden="1" x14ac:dyDescent="0.25">
      <c r="A7335" t="s">
        <v>679</v>
      </c>
      <c r="B7335" t="s">
        <v>106</v>
      </c>
      <c r="E7335" s="3">
        <f>HYPERLINK("https://sao.dolgi.msk.ru/account/1404261631/", 1404261631)</f>
        <v>1404261631</v>
      </c>
      <c r="F7335">
        <v>-2477.4299999999998</v>
      </c>
    </row>
    <row r="7336" spans="1:6" hidden="1" x14ac:dyDescent="0.25">
      <c r="A7336" t="s">
        <v>679</v>
      </c>
      <c r="B7336" t="s">
        <v>107</v>
      </c>
      <c r="E7336" s="3">
        <f>HYPERLINK("https://sao.dolgi.msk.ru/account/1404262642/", 1404262642)</f>
        <v>1404262642</v>
      </c>
      <c r="F7336">
        <v>-2472.81</v>
      </c>
    </row>
    <row r="7337" spans="1:6" x14ac:dyDescent="0.25">
      <c r="A7337" t="s">
        <v>679</v>
      </c>
      <c r="B7337" t="s">
        <v>108</v>
      </c>
      <c r="C7337" s="5" t="str">
        <f>" кв. "&amp;B7337</f>
        <v xml:space="preserve"> кв. 104</v>
      </c>
      <c r="D7337" s="5" t="str">
        <f>CONCATENATE(A7337,C7337)</f>
        <v>Ленинградское шоссе, дом 108 к.2 кв. 104</v>
      </c>
      <c r="E7337" s="3">
        <f>HYPERLINK("https://sao.dolgi.msk.ru/account/1404261519/", 1404261519)</f>
        <v>1404261519</v>
      </c>
      <c r="F7337">
        <v>597.05999999999995</v>
      </c>
    </row>
    <row r="7338" spans="1:6" hidden="1" x14ac:dyDescent="0.25">
      <c r="A7338" t="s">
        <v>679</v>
      </c>
      <c r="B7338" t="s">
        <v>108</v>
      </c>
      <c r="E7338" s="3">
        <f>HYPERLINK("https://sao.dolgi.msk.ru/account/1404262298/", 1404262298)</f>
        <v>1404262298</v>
      </c>
      <c r="F7338">
        <v>-2644.92</v>
      </c>
    </row>
    <row r="7339" spans="1:6" x14ac:dyDescent="0.25">
      <c r="A7339" t="s">
        <v>679</v>
      </c>
      <c r="B7339" t="s">
        <v>109</v>
      </c>
      <c r="C7339" s="5" t="str">
        <f t="shared" ref="C7339:C7342" si="295">" кв. "&amp;B7339</f>
        <v xml:space="preserve"> кв. 105</v>
      </c>
      <c r="D7339" s="5" t="str">
        <f>CONCATENATE(A7339,C7339)</f>
        <v>Ленинградское шоссе, дом 108 к.2 кв. 105</v>
      </c>
      <c r="E7339" s="3">
        <f>HYPERLINK("https://sao.dolgi.msk.ru/account/1404261025/", 1404261025)</f>
        <v>1404261025</v>
      </c>
      <c r="F7339">
        <v>2359.6</v>
      </c>
    </row>
    <row r="7340" spans="1:6" x14ac:dyDescent="0.25">
      <c r="A7340" t="s">
        <v>679</v>
      </c>
      <c r="B7340" t="s">
        <v>110</v>
      </c>
      <c r="C7340" s="5" t="str">
        <f t="shared" si="295"/>
        <v xml:space="preserve"> кв. 106</v>
      </c>
      <c r="D7340" s="5" t="str">
        <f>CONCATENATE(A7340,C7340)</f>
        <v>Ленинградское шоссе, дом 108 к.2 кв. 106</v>
      </c>
      <c r="E7340" s="3">
        <f>HYPERLINK("https://sao.dolgi.msk.ru/account/1404261658/", 1404261658)</f>
        <v>1404261658</v>
      </c>
      <c r="F7340">
        <v>1695.37</v>
      </c>
    </row>
    <row r="7341" spans="1:6" x14ac:dyDescent="0.25">
      <c r="A7341" t="s">
        <v>679</v>
      </c>
      <c r="B7341" t="s">
        <v>111</v>
      </c>
      <c r="C7341" s="5" t="str">
        <f t="shared" si="295"/>
        <v xml:space="preserve"> кв. 107</v>
      </c>
      <c r="D7341" s="5" t="str">
        <f>CONCATENATE(A7341,C7341)</f>
        <v>Ленинградское шоссе, дом 108 к.2 кв. 107</v>
      </c>
      <c r="E7341" s="3">
        <f>HYPERLINK("https://sao.dolgi.msk.ru/account/1404261666/", 1404261666)</f>
        <v>1404261666</v>
      </c>
      <c r="F7341">
        <v>1692.21</v>
      </c>
    </row>
    <row r="7342" spans="1:6" x14ac:dyDescent="0.25">
      <c r="A7342" t="s">
        <v>679</v>
      </c>
      <c r="B7342" t="s">
        <v>112</v>
      </c>
      <c r="C7342" s="5" t="str">
        <f t="shared" si="295"/>
        <v xml:space="preserve"> кв. 108</v>
      </c>
      <c r="D7342" s="5" t="str">
        <f>CONCATENATE(A7342,C7342)</f>
        <v>Ленинградское шоссе, дом 108 к.2 кв. 108</v>
      </c>
      <c r="E7342" s="3">
        <f>HYPERLINK("https://sao.dolgi.msk.ru/account/1404261674/", 1404261674)</f>
        <v>1404261674</v>
      </c>
      <c r="F7342">
        <v>2017.8</v>
      </c>
    </row>
    <row r="7343" spans="1:6" hidden="1" x14ac:dyDescent="0.25">
      <c r="A7343" t="s">
        <v>679</v>
      </c>
      <c r="B7343" t="s">
        <v>113</v>
      </c>
      <c r="E7343" s="3">
        <f>HYPERLINK("https://sao.dolgi.msk.ru/account/1404262538/", 1404262538)</f>
        <v>1404262538</v>
      </c>
      <c r="F7343">
        <v>-3434.19</v>
      </c>
    </row>
    <row r="7344" spans="1:6" x14ac:dyDescent="0.25">
      <c r="A7344" t="s">
        <v>679</v>
      </c>
      <c r="B7344" t="s">
        <v>114</v>
      </c>
      <c r="C7344" s="5" t="str">
        <f>" кв. "&amp;B7344</f>
        <v xml:space="preserve"> кв. 110</v>
      </c>
      <c r="D7344" s="5" t="str">
        <f>CONCATENATE(A7344,C7344)</f>
        <v>Ленинградское шоссе, дом 108 к.2 кв. 110</v>
      </c>
      <c r="E7344" s="3">
        <f>HYPERLINK("https://sao.dolgi.msk.ru/account/1404261682/", 1404261682)</f>
        <v>1404261682</v>
      </c>
      <c r="F7344">
        <v>1692.21</v>
      </c>
    </row>
    <row r="7345" spans="1:6" hidden="1" x14ac:dyDescent="0.25">
      <c r="A7345" t="s">
        <v>679</v>
      </c>
      <c r="B7345" t="s">
        <v>115</v>
      </c>
      <c r="E7345" s="3">
        <f>HYPERLINK("https://sao.dolgi.msk.ru/account/1404260516/", 1404260516)</f>
        <v>1404260516</v>
      </c>
      <c r="F7345">
        <v>-2482.0500000000002</v>
      </c>
    </row>
    <row r="7346" spans="1:6" hidden="1" x14ac:dyDescent="0.25">
      <c r="A7346" t="s">
        <v>679</v>
      </c>
      <c r="B7346" t="s">
        <v>116</v>
      </c>
      <c r="E7346" s="3">
        <f>HYPERLINK("https://sao.dolgi.msk.ru/account/1404262044/", 1404262044)</f>
        <v>1404262044</v>
      </c>
      <c r="F7346">
        <v>-3522.01</v>
      </c>
    </row>
    <row r="7347" spans="1:6" x14ac:dyDescent="0.25">
      <c r="A7347" t="s">
        <v>679</v>
      </c>
      <c r="B7347" t="s">
        <v>117</v>
      </c>
      <c r="C7347" s="5" t="str">
        <f t="shared" ref="C7347:C7349" si="296">" кв. "&amp;B7347</f>
        <v xml:space="preserve"> кв. 113</v>
      </c>
      <c r="D7347" s="5" t="str">
        <f>CONCATENATE(A7347,C7347)</f>
        <v>Ленинградское шоссе, дом 108 к.2 кв. 113</v>
      </c>
      <c r="E7347" s="3">
        <f>HYPERLINK("https://sao.dolgi.msk.ru/account/1404260719/", 1404260719)</f>
        <v>1404260719</v>
      </c>
      <c r="F7347">
        <v>2365.92</v>
      </c>
    </row>
    <row r="7348" spans="1:6" x14ac:dyDescent="0.25">
      <c r="A7348" t="s">
        <v>679</v>
      </c>
      <c r="B7348" t="s">
        <v>118</v>
      </c>
      <c r="C7348" s="5" t="str">
        <f t="shared" si="296"/>
        <v xml:space="preserve"> кв. 114</v>
      </c>
      <c r="D7348" s="5" t="str">
        <f>CONCATENATE(A7348,C7348)</f>
        <v>Ленинградское шоссе, дом 108 к.2 кв. 114</v>
      </c>
      <c r="E7348" s="3">
        <f>HYPERLINK("https://sao.dolgi.msk.ru/account/1404261375/", 1404261375)</f>
        <v>1404261375</v>
      </c>
      <c r="F7348">
        <v>1692.21</v>
      </c>
    </row>
    <row r="7349" spans="1:6" x14ac:dyDescent="0.25">
      <c r="A7349" t="s">
        <v>679</v>
      </c>
      <c r="B7349" t="s">
        <v>119</v>
      </c>
      <c r="C7349" s="5" t="str">
        <f t="shared" si="296"/>
        <v xml:space="preserve"> кв. 115</v>
      </c>
      <c r="D7349" s="5" t="str">
        <f>CONCATENATE(A7349,C7349)</f>
        <v>Ленинградское шоссе, дом 108 к.2 кв. 115</v>
      </c>
      <c r="E7349" s="3">
        <f>HYPERLINK("https://sao.dolgi.msk.ru/account/1404261703/", 1404261703)</f>
        <v>1404261703</v>
      </c>
      <c r="F7349">
        <v>1692.21</v>
      </c>
    </row>
    <row r="7350" spans="1:6" hidden="1" x14ac:dyDescent="0.25">
      <c r="A7350" t="s">
        <v>679</v>
      </c>
      <c r="B7350" t="s">
        <v>120</v>
      </c>
      <c r="E7350" s="3">
        <f>HYPERLINK("https://sao.dolgi.msk.ru/account/1404262546/", 1404262546)</f>
        <v>1404262546</v>
      </c>
      <c r="F7350">
        <v>0</v>
      </c>
    </row>
    <row r="7351" spans="1:6" x14ac:dyDescent="0.25">
      <c r="A7351" t="s">
        <v>679</v>
      </c>
      <c r="B7351" t="s">
        <v>121</v>
      </c>
      <c r="C7351" s="5" t="str">
        <f t="shared" ref="C7351:C7353" si="297">" кв. "&amp;B7351</f>
        <v xml:space="preserve"> кв. 117</v>
      </c>
      <c r="D7351" s="5" t="str">
        <f>CONCATENATE(A7351,C7351)</f>
        <v>Ленинградское шоссе, дом 108 к.2 кв. 117</v>
      </c>
      <c r="E7351" s="3">
        <f>HYPERLINK("https://sao.dolgi.msk.ru/account/1404261471/", 1404261471)</f>
        <v>1404261471</v>
      </c>
      <c r="F7351">
        <v>1974.25</v>
      </c>
    </row>
    <row r="7352" spans="1:6" x14ac:dyDescent="0.25">
      <c r="A7352" t="s">
        <v>679</v>
      </c>
      <c r="B7352" t="s">
        <v>122</v>
      </c>
      <c r="C7352" s="5" t="str">
        <f t="shared" si="297"/>
        <v xml:space="preserve"> кв. 118</v>
      </c>
      <c r="D7352" s="5" t="str">
        <f>CONCATENATE(A7352,C7352)</f>
        <v>Ленинградское шоссе, дом 108 к.2 кв. 118</v>
      </c>
      <c r="E7352" s="3">
        <f>HYPERLINK("https://sao.dolgi.msk.ru/account/1404262052/", 1404262052)</f>
        <v>1404262052</v>
      </c>
      <c r="F7352">
        <v>1415.1</v>
      </c>
    </row>
    <row r="7353" spans="1:6" x14ac:dyDescent="0.25">
      <c r="A7353" t="s">
        <v>679</v>
      </c>
      <c r="B7353" t="s">
        <v>123</v>
      </c>
      <c r="C7353" s="5" t="str">
        <f t="shared" si="297"/>
        <v xml:space="preserve"> кв. 119</v>
      </c>
      <c r="D7353" s="5" t="str">
        <f>CONCATENATE(A7353,C7353)</f>
        <v>Ленинградское шоссе, дом 108 к.2 кв. 119</v>
      </c>
      <c r="E7353" s="3">
        <f>HYPERLINK("https://sao.dolgi.msk.ru/account/1404261711/", 1404261711)</f>
        <v>1404261711</v>
      </c>
      <c r="F7353">
        <v>943.4</v>
      </c>
    </row>
    <row r="7354" spans="1:6" hidden="1" x14ac:dyDescent="0.25">
      <c r="A7354" t="s">
        <v>679</v>
      </c>
      <c r="B7354" t="s">
        <v>124</v>
      </c>
      <c r="E7354" s="3">
        <f>HYPERLINK("https://sao.dolgi.msk.ru/account/1404260938/", 1404260938)</f>
        <v>1404260938</v>
      </c>
      <c r="F7354">
        <v>-931.38</v>
      </c>
    </row>
    <row r="7355" spans="1:6" hidden="1" x14ac:dyDescent="0.25">
      <c r="A7355" t="s">
        <v>679</v>
      </c>
      <c r="B7355" t="s">
        <v>124</v>
      </c>
      <c r="E7355" s="3">
        <f>HYPERLINK("https://sao.dolgi.msk.ru/account/1404260946/", 1404260946)</f>
        <v>1404260946</v>
      </c>
      <c r="F7355">
        <v>-931.38</v>
      </c>
    </row>
    <row r="7356" spans="1:6" hidden="1" x14ac:dyDescent="0.25">
      <c r="A7356" t="s">
        <v>679</v>
      </c>
      <c r="B7356" t="s">
        <v>124</v>
      </c>
      <c r="E7356" s="3">
        <f>HYPERLINK("https://sao.dolgi.msk.ru/account/1404262554/", 1404262554)</f>
        <v>1404262554</v>
      </c>
      <c r="F7356">
        <v>-931.38</v>
      </c>
    </row>
    <row r="7357" spans="1:6" x14ac:dyDescent="0.25">
      <c r="A7357" t="s">
        <v>679</v>
      </c>
      <c r="B7357" t="s">
        <v>125</v>
      </c>
      <c r="C7357" s="5" t="str">
        <f>" кв. "&amp;B7357</f>
        <v xml:space="preserve"> кв. 121</v>
      </c>
      <c r="D7357" s="5" t="str">
        <f>CONCATENATE(A7357,C7357)</f>
        <v>Ленинградское шоссе, дом 108 к.2 кв. 121</v>
      </c>
      <c r="E7357" s="3">
        <f>HYPERLINK("https://sao.dolgi.msk.ru/account/1404262669/", 1404262669)</f>
        <v>1404262669</v>
      </c>
      <c r="F7357">
        <v>2353.27</v>
      </c>
    </row>
    <row r="7358" spans="1:6" hidden="1" x14ac:dyDescent="0.25">
      <c r="A7358" t="s">
        <v>679</v>
      </c>
      <c r="B7358" t="s">
        <v>126</v>
      </c>
      <c r="E7358" s="3">
        <f>HYPERLINK("https://sao.dolgi.msk.ru/account/1404262263/", 1404262263)</f>
        <v>1404262263</v>
      </c>
      <c r="F7358">
        <v>-389.56</v>
      </c>
    </row>
    <row r="7359" spans="1:6" hidden="1" x14ac:dyDescent="0.25">
      <c r="A7359" t="s">
        <v>679</v>
      </c>
      <c r="B7359" t="s">
        <v>127</v>
      </c>
      <c r="E7359" s="3">
        <f>HYPERLINK("https://sao.dolgi.msk.ru/account/1404261498/", 1404261498)</f>
        <v>1404261498</v>
      </c>
      <c r="F7359">
        <v>-2074.7199999999998</v>
      </c>
    </row>
    <row r="7360" spans="1:6" x14ac:dyDescent="0.25">
      <c r="A7360" t="s">
        <v>679</v>
      </c>
      <c r="B7360" t="s">
        <v>128</v>
      </c>
      <c r="C7360" s="5" t="str">
        <f>" кв. "&amp;B7360</f>
        <v xml:space="preserve"> кв. 124</v>
      </c>
      <c r="D7360" s="5" t="str">
        <f>CONCATENATE(A7360,C7360)</f>
        <v>Ленинградское шоссе, дом 108 к.2 кв. 124</v>
      </c>
      <c r="E7360" s="3">
        <f>HYPERLINK("https://sao.dolgi.msk.ru/account/1404261156/", 1404261156)</f>
        <v>1404261156</v>
      </c>
      <c r="F7360">
        <v>1152.9100000000001</v>
      </c>
    </row>
    <row r="7361" spans="1:6" hidden="1" x14ac:dyDescent="0.25">
      <c r="A7361" t="s">
        <v>679</v>
      </c>
      <c r="B7361" t="s">
        <v>128</v>
      </c>
      <c r="E7361" s="3">
        <f>HYPERLINK("https://sao.dolgi.msk.ru/account/1404261228/", 1404261228)</f>
        <v>1404261228</v>
      </c>
      <c r="F7361">
        <v>-896.93</v>
      </c>
    </row>
    <row r="7362" spans="1:6" x14ac:dyDescent="0.25">
      <c r="A7362" t="s">
        <v>679</v>
      </c>
      <c r="B7362" t="s">
        <v>129</v>
      </c>
      <c r="C7362" s="5" t="str">
        <f>" кв. "&amp;B7362</f>
        <v xml:space="preserve"> кв. 125</v>
      </c>
      <c r="D7362" s="5" t="str">
        <f>CONCATENATE(A7362,C7362)</f>
        <v>Ленинградское шоссе, дом 108 к.2 кв. 125</v>
      </c>
      <c r="E7362" s="3">
        <f>HYPERLINK("https://sao.dolgi.msk.ru/account/1404262597/", 1404262597)</f>
        <v>1404262597</v>
      </c>
      <c r="F7362">
        <v>2356.44</v>
      </c>
    </row>
    <row r="7363" spans="1:6" hidden="1" x14ac:dyDescent="0.25">
      <c r="A7363" t="s">
        <v>679</v>
      </c>
      <c r="B7363" t="s">
        <v>130</v>
      </c>
      <c r="E7363" s="3">
        <f>HYPERLINK("https://sao.dolgi.msk.ru/account/1404260751/", 1404260751)</f>
        <v>1404260751</v>
      </c>
      <c r="F7363">
        <v>0</v>
      </c>
    </row>
    <row r="7364" spans="1:6" hidden="1" x14ac:dyDescent="0.25">
      <c r="A7364" t="s">
        <v>679</v>
      </c>
      <c r="B7364" t="s">
        <v>131</v>
      </c>
      <c r="E7364" s="3">
        <f>HYPERLINK("https://sao.dolgi.msk.ru/account/1404261359/", 1404261359)</f>
        <v>1404261359</v>
      </c>
      <c r="F7364">
        <v>0</v>
      </c>
    </row>
    <row r="7365" spans="1:6" hidden="1" x14ac:dyDescent="0.25">
      <c r="A7365" t="s">
        <v>679</v>
      </c>
      <c r="B7365" t="s">
        <v>132</v>
      </c>
      <c r="E7365" s="3">
        <f>HYPERLINK("https://sao.dolgi.msk.ru/account/1404261367/", 1404261367)</f>
        <v>1404261367</v>
      </c>
      <c r="F7365">
        <v>0</v>
      </c>
    </row>
    <row r="7366" spans="1:6" hidden="1" x14ac:dyDescent="0.25">
      <c r="A7366" t="s">
        <v>679</v>
      </c>
      <c r="B7366" t="s">
        <v>133</v>
      </c>
      <c r="E7366" s="3">
        <f>HYPERLINK("https://sao.dolgi.msk.ru/account/1404260778/", 1404260778)</f>
        <v>1404260778</v>
      </c>
      <c r="F7366">
        <v>-2904.13</v>
      </c>
    </row>
    <row r="7367" spans="1:6" x14ac:dyDescent="0.25">
      <c r="A7367" t="s">
        <v>679</v>
      </c>
      <c r="B7367" t="s">
        <v>134</v>
      </c>
      <c r="C7367" s="5" t="str">
        <f t="shared" ref="C7367:C7368" si="298">" кв. "&amp;B7367</f>
        <v xml:space="preserve"> кв. 130</v>
      </c>
      <c r="D7367" s="5" t="str">
        <f>CONCATENATE(A7367,C7367)</f>
        <v>Ленинградское шоссе, дом 108 к.2 кв. 130</v>
      </c>
      <c r="E7367" s="3">
        <f>HYPERLINK("https://sao.dolgi.msk.ru/account/1404260444/", 1404260444)</f>
        <v>1404260444</v>
      </c>
      <c r="F7367">
        <v>1689.04</v>
      </c>
    </row>
    <row r="7368" spans="1:6" x14ac:dyDescent="0.25">
      <c r="A7368" t="s">
        <v>679</v>
      </c>
      <c r="B7368" t="s">
        <v>135</v>
      </c>
      <c r="C7368" s="5" t="str">
        <f t="shared" si="298"/>
        <v xml:space="preserve"> кв. 131</v>
      </c>
      <c r="D7368" s="5" t="str">
        <f>CONCATENATE(A7368,C7368)</f>
        <v>Ленинградское шоссе, дом 108 к.2 кв. 131</v>
      </c>
      <c r="E7368" s="3">
        <f>HYPERLINK("https://sao.dolgi.msk.ru/account/1404261017/", 1404261017)</f>
        <v>1404261017</v>
      </c>
      <c r="F7368">
        <v>1689.04</v>
      </c>
    </row>
    <row r="7369" spans="1:6" hidden="1" x14ac:dyDescent="0.25">
      <c r="A7369" t="s">
        <v>679</v>
      </c>
      <c r="B7369" t="s">
        <v>136</v>
      </c>
      <c r="E7369" s="3">
        <f>HYPERLINK("https://sao.dolgi.msk.ru/account/1404262458/", 1404262458)</f>
        <v>1404262458</v>
      </c>
      <c r="F7369">
        <v>-3360.24</v>
      </c>
    </row>
    <row r="7370" spans="1:6" hidden="1" x14ac:dyDescent="0.25">
      <c r="A7370" t="s">
        <v>679</v>
      </c>
      <c r="B7370" t="s">
        <v>137</v>
      </c>
      <c r="E7370" s="3">
        <f>HYPERLINK("https://sao.dolgi.msk.ru/account/1404261076/", 1404261076)</f>
        <v>1404261076</v>
      </c>
      <c r="F7370">
        <v>0</v>
      </c>
    </row>
    <row r="7371" spans="1:6" hidden="1" x14ac:dyDescent="0.25">
      <c r="A7371" t="s">
        <v>679</v>
      </c>
      <c r="B7371" t="s">
        <v>138</v>
      </c>
      <c r="E7371" s="3">
        <f>HYPERLINK("https://sao.dolgi.msk.ru/account/1404260591/", 1404260591)</f>
        <v>1404260591</v>
      </c>
      <c r="F7371">
        <v>-2472.81</v>
      </c>
    </row>
    <row r="7372" spans="1:6" hidden="1" x14ac:dyDescent="0.25">
      <c r="A7372" t="s">
        <v>679</v>
      </c>
      <c r="B7372" t="s">
        <v>139</v>
      </c>
      <c r="E7372" s="3">
        <f>HYPERLINK("https://sao.dolgi.msk.ru/account/1404262466/", 1404262466)</f>
        <v>1404262466</v>
      </c>
      <c r="F7372">
        <v>-1705.54</v>
      </c>
    </row>
    <row r="7373" spans="1:6" hidden="1" x14ac:dyDescent="0.25">
      <c r="A7373" t="s">
        <v>679</v>
      </c>
      <c r="B7373" t="s">
        <v>140</v>
      </c>
      <c r="E7373" s="3">
        <f>HYPERLINK("https://sao.dolgi.msk.ru/account/1404261455/", 1404261455)</f>
        <v>1404261455</v>
      </c>
      <c r="F7373">
        <v>0</v>
      </c>
    </row>
    <row r="7374" spans="1:6" hidden="1" x14ac:dyDescent="0.25">
      <c r="A7374" t="s">
        <v>679</v>
      </c>
      <c r="B7374" t="s">
        <v>141</v>
      </c>
      <c r="E7374" s="3">
        <f>HYPERLINK("https://sao.dolgi.msk.ru/account/1404261199/", 1404261199)</f>
        <v>1404261199</v>
      </c>
      <c r="F7374">
        <v>-2954.38</v>
      </c>
    </row>
    <row r="7375" spans="1:6" hidden="1" x14ac:dyDescent="0.25">
      <c r="A7375" t="s">
        <v>679</v>
      </c>
      <c r="B7375" t="s">
        <v>142</v>
      </c>
      <c r="E7375" s="3">
        <f>HYPERLINK("https://sao.dolgi.msk.ru/account/1404261586/", 1404261586)</f>
        <v>1404261586</v>
      </c>
      <c r="F7375">
        <v>-2472.81</v>
      </c>
    </row>
    <row r="7376" spans="1:6" hidden="1" x14ac:dyDescent="0.25">
      <c r="A7376" t="s">
        <v>679</v>
      </c>
      <c r="B7376" t="s">
        <v>143</v>
      </c>
      <c r="E7376" s="3">
        <f>HYPERLINK("https://sao.dolgi.msk.ru/account/1404260866/", 1404260866)</f>
        <v>1404260866</v>
      </c>
      <c r="F7376">
        <v>-1379.88</v>
      </c>
    </row>
    <row r="7377" spans="1:6" hidden="1" x14ac:dyDescent="0.25">
      <c r="A7377" t="s">
        <v>679</v>
      </c>
      <c r="B7377" t="s">
        <v>144</v>
      </c>
      <c r="E7377" s="3">
        <f>HYPERLINK("https://sao.dolgi.msk.ru/account/1404261201/", 1404261201)</f>
        <v>1404261201</v>
      </c>
      <c r="F7377">
        <v>-3198.07</v>
      </c>
    </row>
    <row r="7378" spans="1:6" x14ac:dyDescent="0.25">
      <c r="A7378" t="s">
        <v>679</v>
      </c>
      <c r="B7378" t="s">
        <v>145</v>
      </c>
      <c r="C7378" s="5" t="str">
        <f>" кв. "&amp;B7378</f>
        <v xml:space="preserve"> кв. 141</v>
      </c>
      <c r="D7378" s="5" t="str">
        <f>CONCATENATE(A7378,C7378)</f>
        <v>Ленинградское шоссе, дом 108 к.2 кв. 141</v>
      </c>
      <c r="E7378" s="3">
        <f>HYPERLINK("https://sao.dolgi.msk.ru/account/1404262714/", 1404262714)</f>
        <v>1404262714</v>
      </c>
      <c r="F7378">
        <v>2413.37</v>
      </c>
    </row>
    <row r="7379" spans="1:6" hidden="1" x14ac:dyDescent="0.25">
      <c r="A7379" t="s">
        <v>679</v>
      </c>
      <c r="B7379" t="s">
        <v>146</v>
      </c>
      <c r="E7379" s="3">
        <f>HYPERLINK("https://sao.dolgi.msk.ru/account/1404261527/", 1404261527)</f>
        <v>1404261527</v>
      </c>
      <c r="F7379">
        <v>0</v>
      </c>
    </row>
    <row r="7380" spans="1:6" hidden="1" x14ac:dyDescent="0.25">
      <c r="A7380" t="s">
        <v>679</v>
      </c>
      <c r="B7380" t="s">
        <v>147</v>
      </c>
      <c r="E7380" s="3">
        <f>HYPERLINK("https://sao.dolgi.msk.ru/account/1404262212/", 1404262212)</f>
        <v>1404262212</v>
      </c>
      <c r="F7380">
        <v>0</v>
      </c>
    </row>
    <row r="7381" spans="1:6" x14ac:dyDescent="0.25">
      <c r="A7381" t="s">
        <v>679</v>
      </c>
      <c r="B7381" t="s">
        <v>148</v>
      </c>
      <c r="C7381" s="5" t="str">
        <f>" кв. "&amp;B7381</f>
        <v xml:space="preserve"> кв. 144</v>
      </c>
      <c r="D7381" s="5" t="str">
        <f>CONCATENATE(A7381,C7381)</f>
        <v>Ленинградское шоссе, дом 108 к.2 кв. 144</v>
      </c>
      <c r="E7381" s="3">
        <f>HYPERLINK("https://sao.dolgi.msk.ru/account/1404261236/", 1404261236)</f>
        <v>1404261236</v>
      </c>
      <c r="F7381">
        <v>1828.21</v>
      </c>
    </row>
    <row r="7382" spans="1:6" hidden="1" x14ac:dyDescent="0.25">
      <c r="A7382" t="s">
        <v>679</v>
      </c>
      <c r="B7382" t="s">
        <v>149</v>
      </c>
      <c r="E7382" s="3">
        <f>HYPERLINK("https://sao.dolgi.msk.ru/account/1404262394/", 1404262394)</f>
        <v>1404262394</v>
      </c>
      <c r="F7382">
        <v>-3522.01</v>
      </c>
    </row>
    <row r="7383" spans="1:6" hidden="1" x14ac:dyDescent="0.25">
      <c r="A7383" t="s">
        <v>679</v>
      </c>
      <c r="B7383" t="s">
        <v>150</v>
      </c>
      <c r="E7383" s="3">
        <f>HYPERLINK("https://sao.dolgi.msk.ru/account/1404261172/", 1404261172)</f>
        <v>1404261172</v>
      </c>
      <c r="F7383">
        <v>-2477.4299999999998</v>
      </c>
    </row>
    <row r="7384" spans="1:6" hidden="1" x14ac:dyDescent="0.25">
      <c r="A7384" t="s">
        <v>679</v>
      </c>
      <c r="B7384" t="s">
        <v>151</v>
      </c>
      <c r="E7384" s="3">
        <f>HYPERLINK("https://sao.dolgi.msk.ru/account/1404262722/", 1404262722)</f>
        <v>1404262722</v>
      </c>
      <c r="F7384">
        <v>-2472.81</v>
      </c>
    </row>
    <row r="7385" spans="1:6" hidden="1" x14ac:dyDescent="0.25">
      <c r="A7385" t="s">
        <v>679</v>
      </c>
      <c r="B7385" t="s">
        <v>152</v>
      </c>
      <c r="E7385" s="3">
        <f>HYPERLINK("https://sao.dolgi.msk.ru/account/1404261834/", 1404261834)</f>
        <v>1404261834</v>
      </c>
      <c r="F7385">
        <v>-2227.92</v>
      </c>
    </row>
    <row r="7386" spans="1:6" hidden="1" x14ac:dyDescent="0.25">
      <c r="A7386" t="s">
        <v>679</v>
      </c>
      <c r="B7386" t="s">
        <v>153</v>
      </c>
      <c r="E7386" s="3">
        <f>HYPERLINK("https://sao.dolgi.msk.ru/account/1404260698/", 1404260698)</f>
        <v>1404260698</v>
      </c>
      <c r="F7386">
        <v>-1767.95</v>
      </c>
    </row>
    <row r="7387" spans="1:6" hidden="1" x14ac:dyDescent="0.25">
      <c r="A7387" t="s">
        <v>679</v>
      </c>
      <c r="B7387" t="s">
        <v>153</v>
      </c>
      <c r="E7387" s="3">
        <f>HYPERLINK("https://sao.dolgi.msk.ru/account/1404261869/", 1404261869)</f>
        <v>1404261869</v>
      </c>
      <c r="F7387">
        <v>-1488.91</v>
      </c>
    </row>
    <row r="7388" spans="1:6" hidden="1" x14ac:dyDescent="0.25">
      <c r="A7388" t="s">
        <v>679</v>
      </c>
      <c r="B7388" t="s">
        <v>154</v>
      </c>
      <c r="E7388" s="3">
        <f>HYPERLINK("https://sao.dolgi.msk.ru/account/1404262749/", 1404262749)</f>
        <v>1404262749</v>
      </c>
      <c r="F7388">
        <v>-2468.1799999999998</v>
      </c>
    </row>
    <row r="7389" spans="1:6" x14ac:dyDescent="0.25">
      <c r="A7389" t="s">
        <v>679</v>
      </c>
      <c r="B7389" t="s">
        <v>155</v>
      </c>
      <c r="C7389" s="5" t="str">
        <f>" кв. "&amp;B7389</f>
        <v xml:space="preserve"> кв. 151</v>
      </c>
      <c r="D7389" s="5" t="str">
        <f>CONCATENATE(A7389,C7389)</f>
        <v>Ленинградское шоссе, дом 108 к.2 кв. 151</v>
      </c>
      <c r="E7389" s="3">
        <f>HYPERLINK("https://sao.dolgi.msk.ru/account/1404260874/", 1404260874)</f>
        <v>1404260874</v>
      </c>
      <c r="F7389">
        <v>1018.49</v>
      </c>
    </row>
    <row r="7390" spans="1:6" hidden="1" x14ac:dyDescent="0.25">
      <c r="A7390" t="s">
        <v>679</v>
      </c>
      <c r="B7390" t="s">
        <v>156</v>
      </c>
      <c r="E7390" s="3">
        <f>HYPERLINK("https://sao.dolgi.msk.ru/account/1404262239/", 1404262239)</f>
        <v>1404262239</v>
      </c>
      <c r="F7390">
        <v>-3443.44</v>
      </c>
    </row>
    <row r="7391" spans="1:6" hidden="1" x14ac:dyDescent="0.25">
      <c r="A7391" t="s">
        <v>679</v>
      </c>
      <c r="B7391" t="s">
        <v>157</v>
      </c>
      <c r="E7391" s="3">
        <f>HYPERLINK("https://sao.dolgi.msk.ru/account/1404261463/", 1404261463)</f>
        <v>1404261463</v>
      </c>
      <c r="F7391">
        <v>-2969.99</v>
      </c>
    </row>
    <row r="7392" spans="1:6" hidden="1" x14ac:dyDescent="0.25">
      <c r="A7392" t="s">
        <v>679</v>
      </c>
      <c r="B7392" t="s">
        <v>158</v>
      </c>
      <c r="E7392" s="3">
        <f>HYPERLINK("https://sao.dolgi.msk.ru/account/1404260882/", 1404260882)</f>
        <v>1404260882</v>
      </c>
      <c r="F7392">
        <v>-2482.0500000000002</v>
      </c>
    </row>
    <row r="7393" spans="1:6" hidden="1" x14ac:dyDescent="0.25">
      <c r="A7393" t="s">
        <v>679</v>
      </c>
      <c r="B7393" t="s">
        <v>159</v>
      </c>
      <c r="E7393" s="3">
        <f>HYPERLINK("https://sao.dolgi.msk.ru/account/1404261535/", 1404261535)</f>
        <v>1404261535</v>
      </c>
      <c r="F7393">
        <v>-1428.88</v>
      </c>
    </row>
    <row r="7394" spans="1:6" hidden="1" x14ac:dyDescent="0.25">
      <c r="A7394" t="s">
        <v>679</v>
      </c>
      <c r="B7394" t="s">
        <v>159</v>
      </c>
      <c r="E7394" s="3">
        <f>HYPERLINK("https://sao.dolgi.msk.ru/account/1404293713/", 1404293713)</f>
        <v>1404293713</v>
      </c>
      <c r="F7394">
        <v>-1039.31</v>
      </c>
    </row>
    <row r="7395" spans="1:6" hidden="1" x14ac:dyDescent="0.25">
      <c r="A7395" t="s">
        <v>679</v>
      </c>
      <c r="B7395" t="s">
        <v>160</v>
      </c>
      <c r="E7395" s="3">
        <f>HYPERLINK("https://sao.dolgi.msk.ru/account/1404262415/", 1404262415)</f>
        <v>1404262415</v>
      </c>
      <c r="F7395">
        <v>-3443.44</v>
      </c>
    </row>
    <row r="7396" spans="1:6" hidden="1" x14ac:dyDescent="0.25">
      <c r="A7396" t="s">
        <v>679</v>
      </c>
      <c r="B7396" t="s">
        <v>161</v>
      </c>
      <c r="E7396" s="3">
        <f>HYPERLINK("https://sao.dolgi.msk.ru/account/1404260583/", 1404260583)</f>
        <v>1404260583</v>
      </c>
      <c r="F7396">
        <v>-2427.2600000000002</v>
      </c>
    </row>
    <row r="7397" spans="1:6" hidden="1" x14ac:dyDescent="0.25">
      <c r="A7397" t="s">
        <v>679</v>
      </c>
      <c r="B7397" t="s">
        <v>162</v>
      </c>
      <c r="E7397" s="3">
        <f>HYPERLINK("https://sao.dolgi.msk.ru/account/1404262204/", 1404262204)</f>
        <v>1404262204</v>
      </c>
      <c r="F7397">
        <v>-2477.4299999999998</v>
      </c>
    </row>
    <row r="7398" spans="1:6" hidden="1" x14ac:dyDescent="0.25">
      <c r="A7398" t="s">
        <v>679</v>
      </c>
      <c r="B7398" t="s">
        <v>163</v>
      </c>
      <c r="E7398" s="3">
        <f>HYPERLINK("https://sao.dolgi.msk.ru/account/1404262319/", 1404262319)</f>
        <v>1404262319</v>
      </c>
      <c r="F7398">
        <v>-1469.41</v>
      </c>
    </row>
    <row r="7399" spans="1:6" hidden="1" x14ac:dyDescent="0.25">
      <c r="A7399" t="s">
        <v>679</v>
      </c>
      <c r="B7399" t="s">
        <v>164</v>
      </c>
      <c r="E7399" s="3">
        <f>HYPERLINK("https://sao.dolgi.msk.ru/account/1404260954/", 1404260954)</f>
        <v>1404260954</v>
      </c>
      <c r="F7399">
        <v>-2138.69</v>
      </c>
    </row>
    <row r="7400" spans="1:6" hidden="1" x14ac:dyDescent="0.25">
      <c r="A7400" t="s">
        <v>679</v>
      </c>
      <c r="B7400" t="s">
        <v>165</v>
      </c>
      <c r="E7400" s="3">
        <f>HYPERLINK("https://sao.dolgi.msk.ru/account/1404262327/", 1404262327)</f>
        <v>1404262327</v>
      </c>
      <c r="F7400">
        <v>-3531.25</v>
      </c>
    </row>
    <row r="7401" spans="1:6" hidden="1" x14ac:dyDescent="0.25">
      <c r="A7401" t="s">
        <v>679</v>
      </c>
      <c r="B7401" t="s">
        <v>166</v>
      </c>
      <c r="E7401" s="3">
        <f>HYPERLINK("https://sao.dolgi.msk.ru/account/1404262677/", 1404262677)</f>
        <v>1404262677</v>
      </c>
      <c r="F7401">
        <v>0</v>
      </c>
    </row>
    <row r="7402" spans="1:6" hidden="1" x14ac:dyDescent="0.25">
      <c r="A7402" t="s">
        <v>679</v>
      </c>
      <c r="B7402" t="s">
        <v>167</v>
      </c>
      <c r="E7402" s="3">
        <f>HYPERLINK("https://sao.dolgi.msk.ru/account/1404260532/", 1404260532)</f>
        <v>1404260532</v>
      </c>
      <c r="F7402">
        <v>-2082.5100000000002</v>
      </c>
    </row>
    <row r="7403" spans="1:6" hidden="1" x14ac:dyDescent="0.25">
      <c r="A7403" t="s">
        <v>679</v>
      </c>
      <c r="B7403" t="s">
        <v>168</v>
      </c>
      <c r="E7403" s="3">
        <f>HYPERLINK("https://sao.dolgi.msk.ru/account/1404261121/", 1404261121)</f>
        <v>1404261121</v>
      </c>
      <c r="F7403">
        <v>-3438.81</v>
      </c>
    </row>
    <row r="7404" spans="1:6" hidden="1" x14ac:dyDescent="0.25">
      <c r="A7404" t="s">
        <v>679</v>
      </c>
      <c r="B7404" t="s">
        <v>169</v>
      </c>
      <c r="E7404" s="3">
        <f>HYPERLINK("https://sao.dolgi.msk.ru/account/1404262685/", 1404262685)</f>
        <v>1404262685</v>
      </c>
      <c r="F7404">
        <v>-1827.43</v>
      </c>
    </row>
    <row r="7405" spans="1:6" x14ac:dyDescent="0.25">
      <c r="A7405" t="s">
        <v>679</v>
      </c>
      <c r="B7405" t="s">
        <v>170</v>
      </c>
      <c r="C7405" s="5" t="str">
        <f>" кв. "&amp;B7405</f>
        <v xml:space="preserve"> кв. 166</v>
      </c>
      <c r="D7405" s="5" t="str">
        <f>CONCATENATE(A7405,C7405)</f>
        <v>Ленинградское шоссе, дом 108 к.2 кв. 166</v>
      </c>
      <c r="E7405" s="3">
        <f>HYPERLINK("https://sao.dolgi.msk.ru/account/1404262693/", 1404262693)</f>
        <v>1404262693</v>
      </c>
      <c r="F7405">
        <v>1692.21</v>
      </c>
    </row>
    <row r="7406" spans="1:6" hidden="1" x14ac:dyDescent="0.25">
      <c r="A7406" t="s">
        <v>679</v>
      </c>
      <c r="B7406" t="s">
        <v>171</v>
      </c>
      <c r="E7406" s="3">
        <f>HYPERLINK("https://sao.dolgi.msk.ru/account/1404261842/", 1404261842)</f>
        <v>1404261842</v>
      </c>
      <c r="F7406">
        <v>-2482.0500000000002</v>
      </c>
    </row>
    <row r="7407" spans="1:6" hidden="1" x14ac:dyDescent="0.25">
      <c r="A7407" t="s">
        <v>679</v>
      </c>
      <c r="B7407" t="s">
        <v>172</v>
      </c>
      <c r="E7407" s="3">
        <f>HYPERLINK("https://sao.dolgi.msk.ru/account/1404260567/", 1404260567)</f>
        <v>1404260567</v>
      </c>
      <c r="F7407">
        <v>-3438.81</v>
      </c>
    </row>
    <row r="7408" spans="1:6" hidden="1" x14ac:dyDescent="0.25">
      <c r="A7408" t="s">
        <v>679</v>
      </c>
      <c r="B7408" t="s">
        <v>173</v>
      </c>
      <c r="E7408" s="3">
        <f>HYPERLINK("https://sao.dolgi.msk.ru/account/1404262706/", 1404262706)</f>
        <v>1404262706</v>
      </c>
      <c r="F7408">
        <v>0</v>
      </c>
    </row>
    <row r="7409" spans="1:6" hidden="1" x14ac:dyDescent="0.25">
      <c r="A7409" t="s">
        <v>679</v>
      </c>
      <c r="B7409" t="s">
        <v>174</v>
      </c>
      <c r="E7409" s="3">
        <f>HYPERLINK("https://sao.dolgi.msk.ru/account/1404261797/", 1404261797)</f>
        <v>1404261797</v>
      </c>
      <c r="F7409">
        <v>-1572.29</v>
      </c>
    </row>
    <row r="7410" spans="1:6" hidden="1" x14ac:dyDescent="0.25">
      <c r="A7410" t="s">
        <v>679</v>
      </c>
      <c r="B7410" t="s">
        <v>175</v>
      </c>
      <c r="E7410" s="3">
        <f>HYPERLINK("https://sao.dolgi.msk.ru/account/1404260962/", 1404260962)</f>
        <v>1404260962</v>
      </c>
      <c r="F7410">
        <v>-1390.92</v>
      </c>
    </row>
    <row r="7411" spans="1:6" hidden="1" x14ac:dyDescent="0.25">
      <c r="A7411" t="s">
        <v>679</v>
      </c>
      <c r="B7411" t="s">
        <v>175</v>
      </c>
      <c r="E7411" s="3">
        <f>HYPERLINK("https://sao.dolgi.msk.ru/account/1404261746/", 1404261746)</f>
        <v>1404261746</v>
      </c>
      <c r="F7411">
        <v>-1651.63</v>
      </c>
    </row>
    <row r="7412" spans="1:6" hidden="1" x14ac:dyDescent="0.25">
      <c r="A7412" t="s">
        <v>679</v>
      </c>
      <c r="B7412" t="s">
        <v>176</v>
      </c>
      <c r="E7412" s="3">
        <f>HYPERLINK("https://sao.dolgi.msk.ru/account/1404262001/", 1404262001)</f>
        <v>1404262001</v>
      </c>
      <c r="F7412">
        <v>0</v>
      </c>
    </row>
    <row r="7413" spans="1:6" hidden="1" x14ac:dyDescent="0.25">
      <c r="A7413" t="s">
        <v>679</v>
      </c>
      <c r="B7413" t="s">
        <v>177</v>
      </c>
      <c r="E7413" s="3">
        <f>HYPERLINK("https://sao.dolgi.msk.ru/account/1404262087/", 1404262087)</f>
        <v>1404262087</v>
      </c>
      <c r="F7413">
        <v>-3256.84</v>
      </c>
    </row>
    <row r="7414" spans="1:6" hidden="1" x14ac:dyDescent="0.25">
      <c r="A7414" t="s">
        <v>679</v>
      </c>
      <c r="B7414" t="s">
        <v>178</v>
      </c>
      <c r="E7414" s="3">
        <f>HYPERLINK("https://sao.dolgi.msk.ru/account/1404261623/", 1404261623)</f>
        <v>1404261623</v>
      </c>
      <c r="F7414">
        <v>-1567.84</v>
      </c>
    </row>
    <row r="7415" spans="1:6" hidden="1" x14ac:dyDescent="0.25">
      <c r="A7415" t="s">
        <v>679</v>
      </c>
      <c r="B7415" t="s">
        <v>179</v>
      </c>
      <c r="E7415" s="3">
        <f>HYPERLINK("https://sao.dolgi.msk.ru/account/1404260786/", 1404260786)</f>
        <v>1404260786</v>
      </c>
      <c r="F7415">
        <v>-2472.81</v>
      </c>
    </row>
    <row r="7416" spans="1:6" hidden="1" x14ac:dyDescent="0.25">
      <c r="A7416" t="s">
        <v>679</v>
      </c>
      <c r="B7416" t="s">
        <v>180</v>
      </c>
      <c r="E7416" s="3">
        <f>HYPERLINK("https://sao.dolgi.msk.ru/account/1404262028/", 1404262028)</f>
        <v>1404262028</v>
      </c>
      <c r="F7416">
        <v>-3443.44</v>
      </c>
    </row>
    <row r="7417" spans="1:6" hidden="1" x14ac:dyDescent="0.25">
      <c r="A7417" t="s">
        <v>679</v>
      </c>
      <c r="B7417" t="s">
        <v>181</v>
      </c>
      <c r="E7417" s="3">
        <f>HYPERLINK("https://sao.dolgi.msk.ru/account/1404262634/", 1404262634)</f>
        <v>1404262634</v>
      </c>
      <c r="F7417">
        <v>-2768.61</v>
      </c>
    </row>
    <row r="7418" spans="1:6" hidden="1" x14ac:dyDescent="0.25">
      <c r="A7418" t="s">
        <v>679</v>
      </c>
      <c r="B7418" t="s">
        <v>182</v>
      </c>
      <c r="E7418" s="3">
        <f>HYPERLINK("https://sao.dolgi.msk.ru/account/1404261092/", 1404261092)</f>
        <v>1404261092</v>
      </c>
      <c r="F7418">
        <v>-2472.81</v>
      </c>
    </row>
    <row r="7419" spans="1:6" x14ac:dyDescent="0.25">
      <c r="A7419" t="s">
        <v>679</v>
      </c>
      <c r="B7419" t="s">
        <v>183</v>
      </c>
      <c r="C7419" s="5" t="str">
        <f>" кв. "&amp;B7419</f>
        <v xml:space="preserve"> кв. 179</v>
      </c>
      <c r="D7419" s="5" t="str">
        <f>CONCATENATE(A7419,C7419)</f>
        <v>Ленинградское шоссе, дом 108 к.2 кв. 179</v>
      </c>
      <c r="E7419" s="3">
        <f>HYPERLINK("https://sao.dolgi.msk.ru/account/1404262036/", 1404262036)</f>
        <v>1404262036</v>
      </c>
      <c r="F7419">
        <v>1692.21</v>
      </c>
    </row>
    <row r="7420" spans="1:6" hidden="1" x14ac:dyDescent="0.25">
      <c r="A7420" t="s">
        <v>679</v>
      </c>
      <c r="B7420" t="s">
        <v>184</v>
      </c>
      <c r="E7420" s="3">
        <f>HYPERLINK("https://sao.dolgi.msk.ru/account/1404262618/", 1404262618)</f>
        <v>1404262618</v>
      </c>
      <c r="F7420">
        <v>0</v>
      </c>
    </row>
    <row r="7421" spans="1:6" x14ac:dyDescent="0.25">
      <c r="A7421" t="s">
        <v>679</v>
      </c>
      <c r="B7421" t="s">
        <v>185</v>
      </c>
      <c r="C7421" s="5" t="str">
        <f t="shared" ref="C7421:C7422" si="299">" кв. "&amp;B7421</f>
        <v xml:space="preserve"> кв. 181</v>
      </c>
      <c r="D7421" s="5" t="str">
        <f>CONCATENATE(A7421,C7421)</f>
        <v>Ленинградское шоссе, дом 108 к.2 кв. 181</v>
      </c>
      <c r="E7421" s="3">
        <f>HYPERLINK("https://sao.dolgi.msk.ru/account/1404261754/", 1404261754)</f>
        <v>1404261754</v>
      </c>
      <c r="F7421">
        <v>796.41</v>
      </c>
    </row>
    <row r="7422" spans="1:6" x14ac:dyDescent="0.25">
      <c r="A7422" t="s">
        <v>679</v>
      </c>
      <c r="B7422" t="s">
        <v>185</v>
      </c>
      <c r="C7422" s="5" t="str">
        <f t="shared" si="299"/>
        <v xml:space="preserve"> кв. 181</v>
      </c>
      <c r="D7422" s="5" t="str">
        <f>CONCATENATE(A7422,C7422)</f>
        <v>Ленинградское шоссе, дом 108 к.2 кв. 181</v>
      </c>
      <c r="E7422" s="3">
        <f>HYPERLINK("https://sao.dolgi.msk.ru/account/1404262626/", 1404262626)</f>
        <v>1404262626</v>
      </c>
      <c r="F7422">
        <v>1095.06</v>
      </c>
    </row>
    <row r="7423" spans="1:6" hidden="1" x14ac:dyDescent="0.25">
      <c r="A7423" t="s">
        <v>679</v>
      </c>
      <c r="B7423" t="s">
        <v>186</v>
      </c>
      <c r="E7423" s="3">
        <f>HYPERLINK("https://sao.dolgi.msk.ru/account/1404261105/", 1404261105)</f>
        <v>1404261105</v>
      </c>
      <c r="F7423">
        <v>-1858.07</v>
      </c>
    </row>
    <row r="7424" spans="1:6" hidden="1" x14ac:dyDescent="0.25">
      <c r="A7424" t="s">
        <v>679</v>
      </c>
      <c r="B7424" t="s">
        <v>187</v>
      </c>
      <c r="E7424" s="3">
        <f>HYPERLINK("https://sao.dolgi.msk.ru/account/1404261738/", 1404261738)</f>
        <v>1404261738</v>
      </c>
      <c r="F7424">
        <v>-2468.1799999999998</v>
      </c>
    </row>
    <row r="7425" spans="1:6" hidden="1" x14ac:dyDescent="0.25">
      <c r="A7425" t="s">
        <v>679</v>
      </c>
      <c r="B7425" t="s">
        <v>188</v>
      </c>
      <c r="E7425" s="3">
        <f>HYPERLINK("https://sao.dolgi.msk.ru/account/1404261981/", 1404261981)</f>
        <v>1404261981</v>
      </c>
      <c r="F7425">
        <v>0</v>
      </c>
    </row>
    <row r="7426" spans="1:6" hidden="1" x14ac:dyDescent="0.25">
      <c r="A7426" t="s">
        <v>680</v>
      </c>
      <c r="B7426" t="s">
        <v>5</v>
      </c>
      <c r="E7426" s="3">
        <f>HYPERLINK("https://sao.dolgi.msk.ru/account/1404263215/", 1404263215)</f>
        <v>1404263215</v>
      </c>
      <c r="F7426">
        <v>-2576.2199999999998</v>
      </c>
    </row>
    <row r="7427" spans="1:6" x14ac:dyDescent="0.25">
      <c r="A7427" t="s">
        <v>680</v>
      </c>
      <c r="B7427" t="s">
        <v>6</v>
      </c>
      <c r="C7427" s="5" t="str">
        <f>" кв. "&amp;B7427</f>
        <v xml:space="preserve"> кв. 2</v>
      </c>
      <c r="D7427" s="5" t="str">
        <f>CONCATENATE(A7427,C7427)</f>
        <v>Ленинградское шоссе, дом 108 к.3 кв. 2</v>
      </c>
      <c r="E7427" s="3">
        <f>HYPERLINK("https://sao.dolgi.msk.ru/account/1404264218/", 1404264218)</f>
        <v>1404264218</v>
      </c>
      <c r="F7427">
        <v>1179.8</v>
      </c>
    </row>
    <row r="7428" spans="1:6" hidden="1" x14ac:dyDescent="0.25">
      <c r="A7428" t="s">
        <v>680</v>
      </c>
      <c r="B7428" t="s">
        <v>7</v>
      </c>
      <c r="E7428" s="3">
        <f>HYPERLINK("https://sao.dolgi.msk.ru/account/1404262933/", 1404262933)</f>
        <v>1404262933</v>
      </c>
      <c r="F7428">
        <v>-1719.42</v>
      </c>
    </row>
    <row r="7429" spans="1:6" hidden="1" x14ac:dyDescent="0.25">
      <c r="A7429" t="s">
        <v>680</v>
      </c>
      <c r="B7429" t="s">
        <v>8</v>
      </c>
      <c r="E7429" s="3">
        <f>HYPERLINK("https://sao.dolgi.msk.ru/account/1404262781/", 1404262781)</f>
        <v>1404262781</v>
      </c>
      <c r="F7429">
        <v>-2554.38</v>
      </c>
    </row>
    <row r="7430" spans="1:6" hidden="1" x14ac:dyDescent="0.25">
      <c r="A7430" t="s">
        <v>680</v>
      </c>
      <c r="B7430" t="s">
        <v>9</v>
      </c>
      <c r="E7430" s="3">
        <f>HYPERLINK("https://sao.dolgi.msk.ru/account/1404263303/", 1404263303)</f>
        <v>1404263303</v>
      </c>
      <c r="F7430">
        <v>-2507.5700000000002</v>
      </c>
    </row>
    <row r="7431" spans="1:6" hidden="1" x14ac:dyDescent="0.25">
      <c r="A7431" t="s">
        <v>680</v>
      </c>
      <c r="B7431" t="s">
        <v>10</v>
      </c>
      <c r="E7431" s="3">
        <f>HYPERLINK("https://sao.dolgi.msk.ru/account/1404263397/", 1404263397)</f>
        <v>1404263397</v>
      </c>
      <c r="F7431">
        <v>-922.23</v>
      </c>
    </row>
    <row r="7432" spans="1:6" x14ac:dyDescent="0.25">
      <c r="A7432" t="s">
        <v>680</v>
      </c>
      <c r="B7432" t="s">
        <v>11</v>
      </c>
      <c r="C7432" s="5" t="str">
        <f>" кв. "&amp;B7432</f>
        <v xml:space="preserve"> кв. 7</v>
      </c>
      <c r="D7432" s="5" t="str">
        <f>CONCATENATE(A7432,C7432)</f>
        <v>Ленинградское шоссе, дом 108 к.3 кв. 7</v>
      </c>
      <c r="E7432" s="3">
        <f>HYPERLINK("https://sao.dolgi.msk.ru/account/1404264197/", 1404264197)</f>
        <v>1404264197</v>
      </c>
      <c r="F7432">
        <v>657.9</v>
      </c>
    </row>
    <row r="7433" spans="1:6" hidden="1" x14ac:dyDescent="0.25">
      <c r="A7433" t="s">
        <v>680</v>
      </c>
      <c r="B7433" t="s">
        <v>12</v>
      </c>
      <c r="E7433" s="3">
        <f>HYPERLINK("https://sao.dolgi.msk.ru/account/1404263098/", 1404263098)</f>
        <v>1404263098</v>
      </c>
      <c r="F7433">
        <v>-2343.31</v>
      </c>
    </row>
    <row r="7434" spans="1:6" hidden="1" x14ac:dyDescent="0.25">
      <c r="A7434" t="s">
        <v>680</v>
      </c>
      <c r="B7434" t="s">
        <v>13</v>
      </c>
      <c r="E7434" s="3">
        <f>HYPERLINK("https://sao.dolgi.msk.ru/account/1404263418/", 1404263418)</f>
        <v>1404263418</v>
      </c>
      <c r="F7434">
        <v>-2713.16</v>
      </c>
    </row>
    <row r="7435" spans="1:6" x14ac:dyDescent="0.25">
      <c r="A7435" t="s">
        <v>680</v>
      </c>
      <c r="B7435" t="s">
        <v>14</v>
      </c>
      <c r="C7435" s="5" t="str">
        <f>" кв. "&amp;B7435</f>
        <v xml:space="preserve"> кв. 10</v>
      </c>
      <c r="D7435" s="5" t="str">
        <f>CONCATENATE(A7435,C7435)</f>
        <v>Ленинградское шоссе, дом 108 к.3 кв. 10</v>
      </c>
      <c r="E7435" s="3">
        <f>HYPERLINK("https://sao.dolgi.msk.ru/account/1404263389/", 1404263389)</f>
        <v>1404263389</v>
      </c>
      <c r="F7435">
        <v>1170.31</v>
      </c>
    </row>
    <row r="7436" spans="1:6" hidden="1" x14ac:dyDescent="0.25">
      <c r="A7436" t="s">
        <v>680</v>
      </c>
      <c r="B7436" t="s">
        <v>15</v>
      </c>
      <c r="E7436" s="3">
        <f>HYPERLINK("https://sao.dolgi.msk.ru/account/1404264162/", 1404264162)</f>
        <v>1404264162</v>
      </c>
      <c r="F7436">
        <v>0</v>
      </c>
    </row>
    <row r="7437" spans="1:6" hidden="1" x14ac:dyDescent="0.25">
      <c r="A7437" t="s">
        <v>680</v>
      </c>
      <c r="B7437" t="s">
        <v>16</v>
      </c>
      <c r="E7437" s="3">
        <f>HYPERLINK("https://sao.dolgi.msk.ru/account/1404264285/", 1404264285)</f>
        <v>1404264285</v>
      </c>
      <c r="F7437">
        <v>-2782.48</v>
      </c>
    </row>
    <row r="7438" spans="1:6" hidden="1" x14ac:dyDescent="0.25">
      <c r="A7438" t="s">
        <v>680</v>
      </c>
      <c r="B7438" t="s">
        <v>17</v>
      </c>
      <c r="E7438" s="3">
        <f>HYPERLINK("https://sao.dolgi.msk.ru/account/1404263784/", 1404263784)</f>
        <v>1404263784</v>
      </c>
      <c r="F7438">
        <v>0</v>
      </c>
    </row>
    <row r="7439" spans="1:6" hidden="1" x14ac:dyDescent="0.25">
      <c r="A7439" t="s">
        <v>680</v>
      </c>
      <c r="B7439" t="s">
        <v>18</v>
      </c>
      <c r="E7439" s="3">
        <f>HYPERLINK("https://sao.dolgi.msk.ru/account/1404263186/", 1404263186)</f>
        <v>1404263186</v>
      </c>
      <c r="F7439">
        <v>-1714.79</v>
      </c>
    </row>
    <row r="7440" spans="1:6" x14ac:dyDescent="0.25">
      <c r="A7440" t="s">
        <v>680</v>
      </c>
      <c r="B7440" t="s">
        <v>19</v>
      </c>
      <c r="C7440" s="5" t="str">
        <f>" кв. "&amp;B7440</f>
        <v xml:space="preserve"> кв. 15</v>
      </c>
      <c r="D7440" s="5" t="str">
        <f>CONCATENATE(A7440,C7440)</f>
        <v>Ленинградское шоссе, дом 108 к.3 кв. 15</v>
      </c>
      <c r="E7440" s="3">
        <f>HYPERLINK("https://sao.dolgi.msk.ru/account/1404264314/", 1404264314)</f>
        <v>1404264314</v>
      </c>
      <c r="F7440">
        <v>1176.6400000000001</v>
      </c>
    </row>
    <row r="7441" spans="1:6" hidden="1" x14ac:dyDescent="0.25">
      <c r="A7441" t="s">
        <v>680</v>
      </c>
      <c r="B7441" t="s">
        <v>20</v>
      </c>
      <c r="E7441" s="3">
        <f>HYPERLINK("https://sao.dolgi.msk.ru/account/1404262837/", 1404262837)</f>
        <v>1404262837</v>
      </c>
      <c r="F7441">
        <v>-2782.49</v>
      </c>
    </row>
    <row r="7442" spans="1:6" hidden="1" x14ac:dyDescent="0.25">
      <c r="A7442" t="s">
        <v>680</v>
      </c>
      <c r="B7442" t="s">
        <v>21</v>
      </c>
      <c r="E7442" s="3">
        <f>HYPERLINK("https://sao.dolgi.msk.ru/account/1404263629/", 1404263629)</f>
        <v>1404263629</v>
      </c>
      <c r="F7442">
        <v>-2708.54</v>
      </c>
    </row>
    <row r="7443" spans="1:6" hidden="1" x14ac:dyDescent="0.25">
      <c r="A7443" t="s">
        <v>680</v>
      </c>
      <c r="B7443" t="s">
        <v>22</v>
      </c>
      <c r="E7443" s="3">
        <f>HYPERLINK("https://sao.dolgi.msk.ru/account/1404263805/", 1404263805)</f>
        <v>1404263805</v>
      </c>
      <c r="F7443">
        <v>0</v>
      </c>
    </row>
    <row r="7444" spans="1:6" x14ac:dyDescent="0.25">
      <c r="A7444" t="s">
        <v>680</v>
      </c>
      <c r="B7444" t="s">
        <v>23</v>
      </c>
      <c r="C7444" s="5" t="str">
        <f t="shared" ref="C7444:C7445" si="300">" кв. "&amp;B7444</f>
        <v xml:space="preserve"> кв. 19</v>
      </c>
      <c r="D7444" s="5" t="str">
        <f>CONCATENATE(A7444,C7444)</f>
        <v>Ленинградское шоссе, дом 108 к.3 кв. 19</v>
      </c>
      <c r="E7444" s="3">
        <f>HYPERLINK("https://sao.dolgi.msk.ru/account/1404263995/", 1404263995)</f>
        <v>1404263995</v>
      </c>
      <c r="F7444">
        <v>1173.47</v>
      </c>
    </row>
    <row r="7445" spans="1:6" x14ac:dyDescent="0.25">
      <c r="A7445" t="s">
        <v>680</v>
      </c>
      <c r="B7445" t="s">
        <v>24</v>
      </c>
      <c r="C7445" s="5" t="str">
        <f t="shared" si="300"/>
        <v xml:space="preserve"> кв. 20</v>
      </c>
      <c r="D7445" s="5" t="str">
        <f>CONCATENATE(A7445,C7445)</f>
        <v>Ленинградское шоссе, дом 108 к.3 кв. 20</v>
      </c>
      <c r="E7445" s="3">
        <f>HYPERLINK("https://sao.dolgi.msk.ru/account/1404264189/", 1404264189)</f>
        <v>1404264189</v>
      </c>
      <c r="F7445">
        <v>1910.45</v>
      </c>
    </row>
    <row r="7446" spans="1:6" hidden="1" x14ac:dyDescent="0.25">
      <c r="A7446" t="s">
        <v>680</v>
      </c>
      <c r="B7446" t="s">
        <v>25</v>
      </c>
      <c r="E7446" s="3">
        <f>HYPERLINK("https://sao.dolgi.msk.ru/account/1404263354/", 1404263354)</f>
        <v>1404263354</v>
      </c>
      <c r="F7446">
        <v>-2717.78</v>
      </c>
    </row>
    <row r="7447" spans="1:6" hidden="1" x14ac:dyDescent="0.25">
      <c r="A7447" t="s">
        <v>680</v>
      </c>
      <c r="B7447" t="s">
        <v>26</v>
      </c>
      <c r="E7447" s="3">
        <f>HYPERLINK("https://sao.dolgi.msk.ru/account/1404264015/", 1404264015)</f>
        <v>1404264015</v>
      </c>
      <c r="F7447">
        <v>-1719.42</v>
      </c>
    </row>
    <row r="7448" spans="1:6" hidden="1" x14ac:dyDescent="0.25">
      <c r="A7448" t="s">
        <v>680</v>
      </c>
      <c r="B7448" t="s">
        <v>27</v>
      </c>
      <c r="E7448" s="3">
        <f>HYPERLINK("https://sao.dolgi.msk.ru/account/1404263012/", 1404263012)</f>
        <v>1404263012</v>
      </c>
      <c r="F7448">
        <v>-1714.79</v>
      </c>
    </row>
    <row r="7449" spans="1:6" hidden="1" x14ac:dyDescent="0.25">
      <c r="A7449" t="s">
        <v>680</v>
      </c>
      <c r="B7449" t="s">
        <v>28</v>
      </c>
      <c r="E7449" s="3">
        <f>HYPERLINK("https://sao.dolgi.msk.ru/account/1404262802/", 1404262802)</f>
        <v>1404262802</v>
      </c>
      <c r="F7449">
        <v>-2019.85</v>
      </c>
    </row>
    <row r="7450" spans="1:6" hidden="1" x14ac:dyDescent="0.25">
      <c r="A7450" t="s">
        <v>680</v>
      </c>
      <c r="B7450" t="s">
        <v>29</v>
      </c>
      <c r="E7450" s="3">
        <f>HYPERLINK("https://sao.dolgi.msk.ru/account/1404262909/", 1404262909)</f>
        <v>1404262909</v>
      </c>
      <c r="F7450">
        <v>0</v>
      </c>
    </row>
    <row r="7451" spans="1:6" hidden="1" x14ac:dyDescent="0.25">
      <c r="A7451" t="s">
        <v>680</v>
      </c>
      <c r="B7451" t="s">
        <v>30</v>
      </c>
      <c r="E7451" s="3">
        <f>HYPERLINK("https://sao.dolgi.msk.ru/account/1404263522/", 1404263522)</f>
        <v>1404263522</v>
      </c>
      <c r="F7451">
        <v>-1714.79</v>
      </c>
    </row>
    <row r="7452" spans="1:6" hidden="1" x14ac:dyDescent="0.25">
      <c r="A7452" t="s">
        <v>680</v>
      </c>
      <c r="B7452" t="s">
        <v>31</v>
      </c>
      <c r="E7452" s="3">
        <f>HYPERLINK("https://sao.dolgi.msk.ru/account/1404264234/", 1404264234)</f>
        <v>1404264234</v>
      </c>
      <c r="F7452">
        <v>0</v>
      </c>
    </row>
    <row r="7453" spans="1:6" hidden="1" x14ac:dyDescent="0.25">
      <c r="A7453" t="s">
        <v>680</v>
      </c>
      <c r="B7453" t="s">
        <v>32</v>
      </c>
      <c r="E7453" s="3">
        <f>HYPERLINK("https://sao.dolgi.msk.ru/account/1404263311/", 1404263311)</f>
        <v>1404263311</v>
      </c>
      <c r="F7453">
        <v>-2347.21</v>
      </c>
    </row>
    <row r="7454" spans="1:6" hidden="1" x14ac:dyDescent="0.25">
      <c r="A7454" t="s">
        <v>680</v>
      </c>
      <c r="B7454" t="s">
        <v>33</v>
      </c>
      <c r="E7454" s="3">
        <f>HYPERLINK("https://sao.dolgi.msk.ru/account/1404263936/", 1404263936)</f>
        <v>1404263936</v>
      </c>
      <c r="F7454">
        <v>-2722.41</v>
      </c>
    </row>
    <row r="7455" spans="1:6" hidden="1" x14ac:dyDescent="0.25">
      <c r="A7455" t="s">
        <v>680</v>
      </c>
      <c r="B7455" t="s">
        <v>34</v>
      </c>
      <c r="E7455" s="3">
        <f>HYPERLINK("https://sao.dolgi.msk.ru/account/1404263725/", 1404263725)</f>
        <v>1404263725</v>
      </c>
      <c r="F7455">
        <v>0</v>
      </c>
    </row>
    <row r="7456" spans="1:6" x14ac:dyDescent="0.25">
      <c r="A7456" t="s">
        <v>680</v>
      </c>
      <c r="B7456" t="s">
        <v>35</v>
      </c>
      <c r="C7456" s="5" t="str">
        <f>" кв. "&amp;B7456</f>
        <v xml:space="preserve"> кв. 31</v>
      </c>
      <c r="D7456" s="5" t="str">
        <f>CONCATENATE(A7456,C7456)</f>
        <v>Ленинградское шоссе, дом 108 к.3 кв. 31</v>
      </c>
      <c r="E7456" s="3">
        <f>HYPERLINK("https://sao.dolgi.msk.ru/account/1404263549/", 1404263549)</f>
        <v>1404263549</v>
      </c>
      <c r="F7456">
        <v>1176.6400000000001</v>
      </c>
    </row>
    <row r="7457" spans="1:6" hidden="1" x14ac:dyDescent="0.25">
      <c r="A7457" t="s">
        <v>680</v>
      </c>
      <c r="B7457" t="s">
        <v>36</v>
      </c>
      <c r="E7457" s="3">
        <f>HYPERLINK("https://sao.dolgi.msk.ru/account/1404262861/", 1404262861)</f>
        <v>1404262861</v>
      </c>
      <c r="F7457">
        <v>-2782.49</v>
      </c>
    </row>
    <row r="7458" spans="1:6" hidden="1" x14ac:dyDescent="0.25">
      <c r="A7458" t="s">
        <v>680</v>
      </c>
      <c r="B7458" t="s">
        <v>37</v>
      </c>
      <c r="E7458" s="3">
        <f>HYPERLINK("https://sao.dolgi.msk.ru/account/1404263266/", 1404263266)</f>
        <v>1404263266</v>
      </c>
      <c r="F7458">
        <v>0</v>
      </c>
    </row>
    <row r="7459" spans="1:6" hidden="1" x14ac:dyDescent="0.25">
      <c r="A7459" t="s">
        <v>680</v>
      </c>
      <c r="B7459" t="s">
        <v>38</v>
      </c>
      <c r="E7459" s="3">
        <f>HYPERLINK("https://sao.dolgi.msk.ru/account/1404263477/", 1404263477)</f>
        <v>1404263477</v>
      </c>
      <c r="F7459">
        <v>-1289.56</v>
      </c>
    </row>
    <row r="7460" spans="1:6" x14ac:dyDescent="0.25">
      <c r="A7460" t="s">
        <v>680</v>
      </c>
      <c r="B7460" t="s">
        <v>39</v>
      </c>
      <c r="C7460" s="5" t="str">
        <f>" кв. "&amp;B7460</f>
        <v xml:space="preserve"> кв. 35</v>
      </c>
      <c r="D7460" s="5" t="str">
        <f>CONCATENATE(A7460,C7460)</f>
        <v>Ленинградское шоссе, дом 108 к.3 кв. 35</v>
      </c>
      <c r="E7460" s="3">
        <f>HYPERLINK("https://sao.dolgi.msk.ru/account/1404264365/", 1404264365)</f>
        <v>1404264365</v>
      </c>
      <c r="F7460">
        <v>1179.8</v>
      </c>
    </row>
    <row r="7461" spans="1:6" hidden="1" x14ac:dyDescent="0.25">
      <c r="A7461" t="s">
        <v>680</v>
      </c>
      <c r="B7461" t="s">
        <v>40</v>
      </c>
      <c r="E7461" s="3">
        <f>HYPERLINK("https://sao.dolgi.msk.ru/account/1404264031/", 1404264031)</f>
        <v>1404264031</v>
      </c>
      <c r="F7461">
        <v>0</v>
      </c>
    </row>
    <row r="7462" spans="1:6" hidden="1" x14ac:dyDescent="0.25">
      <c r="A7462" t="s">
        <v>680</v>
      </c>
      <c r="B7462" t="s">
        <v>41</v>
      </c>
      <c r="E7462" s="3">
        <f>HYPERLINK("https://sao.dolgi.msk.ru/account/1404262829/", 1404262829)</f>
        <v>1404262829</v>
      </c>
      <c r="F7462">
        <v>-2717.78</v>
      </c>
    </row>
    <row r="7463" spans="1:6" hidden="1" x14ac:dyDescent="0.25">
      <c r="A7463" t="s">
        <v>680</v>
      </c>
      <c r="B7463" t="s">
        <v>42</v>
      </c>
      <c r="E7463" s="3">
        <f>HYPERLINK("https://sao.dolgi.msk.ru/account/1404263557/", 1404263557)</f>
        <v>1404263557</v>
      </c>
      <c r="F7463">
        <v>-545.70000000000005</v>
      </c>
    </row>
    <row r="7464" spans="1:6" hidden="1" x14ac:dyDescent="0.25">
      <c r="A7464" t="s">
        <v>680</v>
      </c>
      <c r="B7464" t="s">
        <v>43</v>
      </c>
      <c r="E7464" s="3">
        <f>HYPERLINK("https://sao.dolgi.msk.ru/account/1404263223/", 1404263223)</f>
        <v>1404263223</v>
      </c>
      <c r="F7464">
        <v>-930.02</v>
      </c>
    </row>
    <row r="7465" spans="1:6" hidden="1" x14ac:dyDescent="0.25">
      <c r="A7465" t="s">
        <v>680</v>
      </c>
      <c r="B7465" t="s">
        <v>44</v>
      </c>
      <c r="E7465" s="3">
        <f>HYPERLINK("https://sao.dolgi.msk.ru/account/1404263872/", 1404263872)</f>
        <v>1404263872</v>
      </c>
      <c r="F7465">
        <v>0</v>
      </c>
    </row>
    <row r="7466" spans="1:6" x14ac:dyDescent="0.25">
      <c r="A7466" t="s">
        <v>680</v>
      </c>
      <c r="B7466" t="s">
        <v>45</v>
      </c>
      <c r="C7466" s="5" t="str">
        <f>" кв. "&amp;B7466</f>
        <v xml:space="preserve"> кв. 41</v>
      </c>
      <c r="D7466" s="5" t="str">
        <f>CONCATENATE(A7466,C7466)</f>
        <v>Ленинградское шоссе, дом 108 к.3 кв. 41</v>
      </c>
      <c r="E7466" s="3">
        <f>HYPERLINK("https://sao.dolgi.msk.ru/account/1404262976/", 1404262976)</f>
        <v>1404262976</v>
      </c>
      <c r="F7466">
        <v>1866.17</v>
      </c>
    </row>
    <row r="7467" spans="1:6" hidden="1" x14ac:dyDescent="0.25">
      <c r="A7467" t="s">
        <v>680</v>
      </c>
      <c r="B7467" t="s">
        <v>46</v>
      </c>
      <c r="E7467" s="3">
        <f>HYPERLINK("https://sao.dolgi.msk.ru/account/1404263055/", 1404263055)</f>
        <v>1404263055</v>
      </c>
      <c r="F7467">
        <v>-1724.04</v>
      </c>
    </row>
    <row r="7468" spans="1:6" hidden="1" x14ac:dyDescent="0.25">
      <c r="A7468" t="s">
        <v>680</v>
      </c>
      <c r="B7468" t="s">
        <v>47</v>
      </c>
      <c r="E7468" s="3">
        <f>HYPERLINK("https://sao.dolgi.msk.ru/account/1404263661/", 1404263661)</f>
        <v>1404263661</v>
      </c>
      <c r="F7468">
        <v>-1719.42</v>
      </c>
    </row>
    <row r="7469" spans="1:6" hidden="1" x14ac:dyDescent="0.25">
      <c r="A7469" t="s">
        <v>680</v>
      </c>
      <c r="B7469" t="s">
        <v>48</v>
      </c>
      <c r="E7469" s="3">
        <f>HYPERLINK("https://sao.dolgi.msk.ru/account/1404262853/", 1404262853)</f>
        <v>1404262853</v>
      </c>
      <c r="F7469">
        <v>-2782.49</v>
      </c>
    </row>
    <row r="7470" spans="1:6" hidden="1" x14ac:dyDescent="0.25">
      <c r="A7470" t="s">
        <v>680</v>
      </c>
      <c r="B7470" t="s">
        <v>49</v>
      </c>
      <c r="E7470" s="3">
        <f>HYPERLINK("https://sao.dolgi.msk.ru/account/1404263485/", 1404263485)</f>
        <v>1404263485</v>
      </c>
      <c r="F7470">
        <v>-2722.41</v>
      </c>
    </row>
    <row r="7471" spans="1:6" hidden="1" x14ac:dyDescent="0.25">
      <c r="A7471" t="s">
        <v>680</v>
      </c>
      <c r="B7471" t="s">
        <v>50</v>
      </c>
      <c r="E7471" s="3">
        <f>HYPERLINK("https://sao.dolgi.msk.ru/account/1404264023/", 1404264023)</f>
        <v>1404264023</v>
      </c>
      <c r="F7471">
        <v>0</v>
      </c>
    </row>
    <row r="7472" spans="1:6" x14ac:dyDescent="0.25">
      <c r="A7472" t="s">
        <v>680</v>
      </c>
      <c r="B7472" t="s">
        <v>51</v>
      </c>
      <c r="C7472" s="5" t="str">
        <f t="shared" ref="C7472:C7473" si="301">" кв. "&amp;B7472</f>
        <v xml:space="preserve"> кв. 47</v>
      </c>
      <c r="D7472" s="5" t="str">
        <f>CONCATENATE(A7472,C7472)</f>
        <v>Ленинградское шоссе, дом 108 к.3 кв. 47</v>
      </c>
      <c r="E7472" s="3">
        <f>HYPERLINK("https://sao.dolgi.msk.ru/account/1404263979/", 1404263979)</f>
        <v>1404263979</v>
      </c>
      <c r="F7472">
        <v>1192.45</v>
      </c>
    </row>
    <row r="7473" spans="1:6" x14ac:dyDescent="0.25">
      <c r="A7473" t="s">
        <v>680</v>
      </c>
      <c r="B7473" t="s">
        <v>52</v>
      </c>
      <c r="C7473" s="5" t="str">
        <f t="shared" si="301"/>
        <v xml:space="preserve"> кв. 48</v>
      </c>
      <c r="D7473" s="5" t="str">
        <f>CONCATENATE(A7473,C7473)</f>
        <v>Ленинградское шоссе, дом 108 к.3 кв. 48</v>
      </c>
      <c r="E7473" s="3">
        <f>HYPERLINK("https://sao.dolgi.msk.ru/account/1404264007/", 1404264007)</f>
        <v>1404264007</v>
      </c>
      <c r="F7473">
        <v>1236.73</v>
      </c>
    </row>
    <row r="7474" spans="1:6" hidden="1" x14ac:dyDescent="0.25">
      <c r="A7474" t="s">
        <v>680</v>
      </c>
      <c r="B7474" t="s">
        <v>53</v>
      </c>
      <c r="E7474" s="3">
        <f>HYPERLINK("https://sao.dolgi.msk.ru/account/1404263821/", 1404263821)</f>
        <v>1404263821</v>
      </c>
      <c r="F7474">
        <v>-2332.5</v>
      </c>
    </row>
    <row r="7475" spans="1:6" x14ac:dyDescent="0.25">
      <c r="A7475" t="s">
        <v>680</v>
      </c>
      <c r="B7475" t="s">
        <v>54</v>
      </c>
      <c r="C7475" s="5" t="str">
        <f t="shared" ref="C7475:C7476" si="302">" кв. "&amp;B7475</f>
        <v xml:space="preserve"> кв. 50</v>
      </c>
      <c r="D7475" s="5" t="str">
        <f>CONCATENATE(A7475,C7475)</f>
        <v>Ленинградское шоссе, дом 108 к.3 кв. 50</v>
      </c>
      <c r="E7475" s="3">
        <f>HYPERLINK("https://sao.dolgi.msk.ru/account/1404263653/", 1404263653)</f>
        <v>1404263653</v>
      </c>
      <c r="F7475">
        <v>676.88</v>
      </c>
    </row>
    <row r="7476" spans="1:6" x14ac:dyDescent="0.25">
      <c r="A7476" t="s">
        <v>680</v>
      </c>
      <c r="B7476" t="s">
        <v>55</v>
      </c>
      <c r="C7476" s="5" t="str">
        <f t="shared" si="302"/>
        <v xml:space="preserve"> кв. 51</v>
      </c>
      <c r="D7476" s="5" t="str">
        <f>CONCATENATE(A7476,C7476)</f>
        <v>Ленинградское шоссе, дом 108 к.3 кв. 51</v>
      </c>
      <c r="E7476" s="3">
        <f>HYPERLINK("https://sao.dolgi.msk.ru/account/1404263258/", 1404263258)</f>
        <v>1404263258</v>
      </c>
      <c r="F7476">
        <v>1192.45</v>
      </c>
    </row>
    <row r="7477" spans="1:6" hidden="1" x14ac:dyDescent="0.25">
      <c r="A7477" t="s">
        <v>680</v>
      </c>
      <c r="B7477" t="s">
        <v>56</v>
      </c>
      <c r="E7477" s="3">
        <f>HYPERLINK("https://sao.dolgi.msk.ru/account/1404263792/", 1404263792)</f>
        <v>1404263792</v>
      </c>
      <c r="F7477">
        <v>-2768.62</v>
      </c>
    </row>
    <row r="7478" spans="1:6" hidden="1" x14ac:dyDescent="0.25">
      <c r="A7478" t="s">
        <v>680</v>
      </c>
      <c r="B7478" t="s">
        <v>57</v>
      </c>
      <c r="E7478" s="3">
        <f>HYPERLINK("https://sao.dolgi.msk.ru/account/1404263952/", 1404263952)</f>
        <v>1404263952</v>
      </c>
      <c r="F7478">
        <v>-2727.03</v>
      </c>
    </row>
    <row r="7479" spans="1:6" hidden="1" x14ac:dyDescent="0.25">
      <c r="A7479" t="s">
        <v>680</v>
      </c>
      <c r="B7479" t="s">
        <v>58</v>
      </c>
      <c r="E7479" s="3">
        <f>HYPERLINK("https://sao.dolgi.msk.ru/account/1404264269/", 1404264269)</f>
        <v>1404264269</v>
      </c>
      <c r="F7479">
        <v>-1747.13</v>
      </c>
    </row>
    <row r="7480" spans="1:6" hidden="1" x14ac:dyDescent="0.25">
      <c r="A7480" t="s">
        <v>680</v>
      </c>
      <c r="B7480" t="s">
        <v>59</v>
      </c>
      <c r="E7480" s="3">
        <f>HYPERLINK("https://sao.dolgi.msk.ru/account/1404264322/", 1404264322)</f>
        <v>1404264322</v>
      </c>
      <c r="F7480">
        <v>-3238.17</v>
      </c>
    </row>
    <row r="7481" spans="1:6" hidden="1" x14ac:dyDescent="0.25">
      <c r="A7481" t="s">
        <v>680</v>
      </c>
      <c r="B7481" t="s">
        <v>60</v>
      </c>
      <c r="E7481" s="3">
        <f>HYPERLINK("https://sao.dolgi.msk.ru/account/1404263346/", 1404263346)</f>
        <v>1404263346</v>
      </c>
      <c r="F7481">
        <v>-2782.49</v>
      </c>
    </row>
    <row r="7482" spans="1:6" x14ac:dyDescent="0.25">
      <c r="A7482" t="s">
        <v>680</v>
      </c>
      <c r="B7482" t="s">
        <v>61</v>
      </c>
      <c r="C7482" s="5" t="str">
        <f>" кв. "&amp;B7482</f>
        <v xml:space="preserve"> кв. 57</v>
      </c>
      <c r="D7482" s="5" t="str">
        <f>CONCATENATE(A7482,C7482)</f>
        <v>Ленинградское шоссе, дом 108 к.3 кв. 57</v>
      </c>
      <c r="E7482" s="3">
        <f>HYPERLINK("https://sao.dolgi.msk.ru/account/1404263442/", 1404263442)</f>
        <v>1404263442</v>
      </c>
      <c r="F7482">
        <v>1863.01</v>
      </c>
    </row>
    <row r="7483" spans="1:6" hidden="1" x14ac:dyDescent="0.25">
      <c r="A7483" t="s">
        <v>680</v>
      </c>
      <c r="B7483" t="s">
        <v>62</v>
      </c>
      <c r="E7483" s="3">
        <f>HYPERLINK("https://sao.dolgi.msk.ru/account/1404262888/", 1404262888)</f>
        <v>1404262888</v>
      </c>
      <c r="F7483">
        <v>0</v>
      </c>
    </row>
    <row r="7484" spans="1:6" x14ac:dyDescent="0.25">
      <c r="A7484" t="s">
        <v>680</v>
      </c>
      <c r="B7484" t="s">
        <v>63</v>
      </c>
      <c r="C7484" s="5" t="str">
        <f>" кв. "&amp;B7484</f>
        <v xml:space="preserve"> кв. 59</v>
      </c>
      <c r="D7484" s="5" t="str">
        <f>CONCATENATE(A7484,C7484)</f>
        <v>Ленинградское шоссе, дом 108 к.3 кв. 59</v>
      </c>
      <c r="E7484" s="3">
        <f>HYPERLINK("https://sao.dolgi.msk.ru/account/1404263493/", 1404263493)</f>
        <v>1404263493</v>
      </c>
      <c r="F7484">
        <v>1189.29</v>
      </c>
    </row>
    <row r="7485" spans="1:6" hidden="1" x14ac:dyDescent="0.25">
      <c r="A7485" t="s">
        <v>680</v>
      </c>
      <c r="B7485" t="s">
        <v>64</v>
      </c>
      <c r="E7485" s="3">
        <f>HYPERLINK("https://sao.dolgi.msk.ru/account/1404263581/", 1404263581)</f>
        <v>1404263581</v>
      </c>
      <c r="F7485">
        <v>-4686.62</v>
      </c>
    </row>
    <row r="7486" spans="1:6" x14ac:dyDescent="0.25">
      <c r="A7486" t="s">
        <v>680</v>
      </c>
      <c r="B7486" t="s">
        <v>65</v>
      </c>
      <c r="C7486" s="5" t="str">
        <f>" кв. "&amp;B7486</f>
        <v xml:space="preserve"> кв. 61</v>
      </c>
      <c r="D7486" s="5" t="str">
        <f>CONCATENATE(A7486,C7486)</f>
        <v>Ленинградское шоссе, дом 108 к.3 кв. 61</v>
      </c>
      <c r="E7486" s="3">
        <f>HYPERLINK("https://sao.dolgi.msk.ru/account/1404263856/", 1404263856)</f>
        <v>1404263856</v>
      </c>
      <c r="F7486">
        <v>1859.84</v>
      </c>
    </row>
    <row r="7487" spans="1:6" hidden="1" x14ac:dyDescent="0.25">
      <c r="A7487" t="s">
        <v>680</v>
      </c>
      <c r="B7487" t="s">
        <v>66</v>
      </c>
      <c r="E7487" s="3">
        <f>HYPERLINK("https://sao.dolgi.msk.ru/account/1404263071/", 1404263071)</f>
        <v>1404263071</v>
      </c>
      <c r="F7487">
        <v>-1742.51</v>
      </c>
    </row>
    <row r="7488" spans="1:6" hidden="1" x14ac:dyDescent="0.25">
      <c r="A7488" t="s">
        <v>680</v>
      </c>
      <c r="B7488" t="s">
        <v>67</v>
      </c>
      <c r="E7488" s="3">
        <f>HYPERLINK("https://sao.dolgi.msk.ru/account/1404263733/", 1404263733)</f>
        <v>1404263733</v>
      </c>
      <c r="F7488">
        <v>0</v>
      </c>
    </row>
    <row r="7489" spans="1:6" x14ac:dyDescent="0.25">
      <c r="A7489" t="s">
        <v>680</v>
      </c>
      <c r="B7489" t="s">
        <v>68</v>
      </c>
      <c r="C7489" s="5" t="str">
        <f>" кв. "&amp;B7489</f>
        <v xml:space="preserve"> кв. 64</v>
      </c>
      <c r="D7489" s="5" t="str">
        <f>CONCATENATE(A7489,C7489)</f>
        <v>Ленинградское шоссе, дом 108 к.3 кв. 64</v>
      </c>
      <c r="E7489" s="3">
        <f>HYPERLINK("https://sao.dolgi.msk.ru/account/1404264082/", 1404264082)</f>
        <v>1404264082</v>
      </c>
      <c r="F7489">
        <v>1897.8</v>
      </c>
    </row>
    <row r="7490" spans="1:6" hidden="1" x14ac:dyDescent="0.25">
      <c r="A7490" t="s">
        <v>680</v>
      </c>
      <c r="B7490" t="s">
        <v>69</v>
      </c>
      <c r="E7490" s="3">
        <f>HYPERLINK("https://sao.dolgi.msk.ru/account/1404263338/", 1404263338)</f>
        <v>1404263338</v>
      </c>
      <c r="F7490">
        <v>-2787.11</v>
      </c>
    </row>
    <row r="7491" spans="1:6" hidden="1" x14ac:dyDescent="0.25">
      <c r="A7491" t="s">
        <v>680</v>
      </c>
      <c r="B7491" t="s">
        <v>70</v>
      </c>
      <c r="E7491" s="3">
        <f>HYPERLINK("https://sao.dolgi.msk.ru/account/1404262992/", 1404262992)</f>
        <v>1404262992</v>
      </c>
      <c r="F7491">
        <v>-1440.25</v>
      </c>
    </row>
    <row r="7492" spans="1:6" x14ac:dyDescent="0.25">
      <c r="A7492" t="s">
        <v>680</v>
      </c>
      <c r="B7492" t="s">
        <v>71</v>
      </c>
      <c r="C7492" s="5" t="str">
        <f>" кв. "&amp;B7492</f>
        <v xml:space="preserve"> кв. 67</v>
      </c>
      <c r="D7492" s="5" t="str">
        <f>CONCATENATE(A7492,C7492)</f>
        <v>Ленинградское шоссе, дом 108 к.3 кв. 67</v>
      </c>
      <c r="E7492" s="3">
        <f>HYPERLINK("https://sao.dolgi.msk.ru/account/1404262941/", 1404262941)</f>
        <v>1404262941</v>
      </c>
      <c r="F7492">
        <v>1173.47</v>
      </c>
    </row>
    <row r="7493" spans="1:6" hidden="1" x14ac:dyDescent="0.25">
      <c r="A7493" t="s">
        <v>680</v>
      </c>
      <c r="B7493" t="s">
        <v>72</v>
      </c>
      <c r="E7493" s="3">
        <f>HYPERLINK("https://sao.dolgi.msk.ru/account/1404263813/", 1404263813)</f>
        <v>1404263813</v>
      </c>
      <c r="F7493">
        <v>0</v>
      </c>
    </row>
    <row r="7494" spans="1:6" hidden="1" x14ac:dyDescent="0.25">
      <c r="A7494" t="s">
        <v>680</v>
      </c>
      <c r="B7494" t="s">
        <v>73</v>
      </c>
      <c r="E7494" s="3">
        <f>HYPERLINK("https://sao.dolgi.msk.ru/account/1404263645/", 1404263645)</f>
        <v>1404263645</v>
      </c>
      <c r="F7494">
        <v>-2773.24</v>
      </c>
    </row>
    <row r="7495" spans="1:6" hidden="1" x14ac:dyDescent="0.25">
      <c r="A7495" t="s">
        <v>680</v>
      </c>
      <c r="B7495" t="s">
        <v>74</v>
      </c>
      <c r="E7495" s="3">
        <f>HYPERLINK("https://sao.dolgi.msk.ru/account/1404264111/", 1404264111)</f>
        <v>1404264111</v>
      </c>
      <c r="F7495">
        <v>-1714.79</v>
      </c>
    </row>
    <row r="7496" spans="1:6" hidden="1" x14ac:dyDescent="0.25">
      <c r="A7496" t="s">
        <v>680</v>
      </c>
      <c r="B7496" t="s">
        <v>75</v>
      </c>
      <c r="E7496" s="3">
        <f>HYPERLINK("https://sao.dolgi.msk.ru/account/1404263135/", 1404263135)</f>
        <v>1404263135</v>
      </c>
      <c r="F7496">
        <v>-1714.79</v>
      </c>
    </row>
    <row r="7497" spans="1:6" hidden="1" x14ac:dyDescent="0.25">
      <c r="A7497" t="s">
        <v>680</v>
      </c>
      <c r="B7497" t="s">
        <v>76</v>
      </c>
      <c r="E7497" s="3">
        <f>HYPERLINK("https://sao.dolgi.msk.ru/account/1404263573/", 1404263573)</f>
        <v>1404263573</v>
      </c>
      <c r="F7497">
        <v>-2713.16</v>
      </c>
    </row>
    <row r="7498" spans="1:6" hidden="1" x14ac:dyDescent="0.25">
      <c r="A7498" t="s">
        <v>680</v>
      </c>
      <c r="B7498" t="s">
        <v>77</v>
      </c>
      <c r="E7498" s="3">
        <f>HYPERLINK("https://sao.dolgi.msk.ru/account/1404264242/", 1404264242)</f>
        <v>1404264242</v>
      </c>
      <c r="F7498">
        <v>-4447.43</v>
      </c>
    </row>
    <row r="7499" spans="1:6" hidden="1" x14ac:dyDescent="0.25">
      <c r="A7499" t="s">
        <v>680</v>
      </c>
      <c r="B7499" t="s">
        <v>78</v>
      </c>
      <c r="E7499" s="3">
        <f>HYPERLINK("https://sao.dolgi.msk.ru/account/1404263231/", 1404263231)</f>
        <v>1404263231</v>
      </c>
      <c r="F7499">
        <v>0</v>
      </c>
    </row>
    <row r="7500" spans="1:6" hidden="1" x14ac:dyDescent="0.25">
      <c r="A7500" t="s">
        <v>680</v>
      </c>
      <c r="B7500" t="s">
        <v>79</v>
      </c>
      <c r="E7500" s="3">
        <f>HYPERLINK("https://sao.dolgi.msk.ru/account/1404263127/", 1404263127)</f>
        <v>1404263127</v>
      </c>
      <c r="F7500">
        <v>-1719.42</v>
      </c>
    </row>
    <row r="7501" spans="1:6" hidden="1" x14ac:dyDescent="0.25">
      <c r="A7501" t="s">
        <v>680</v>
      </c>
      <c r="B7501" t="s">
        <v>80</v>
      </c>
      <c r="E7501" s="3">
        <f>HYPERLINK("https://sao.dolgi.msk.ru/account/1404262968/", 1404262968)</f>
        <v>1404262968</v>
      </c>
      <c r="F7501">
        <v>-1433.25</v>
      </c>
    </row>
    <row r="7502" spans="1:6" hidden="1" x14ac:dyDescent="0.25">
      <c r="A7502" t="s">
        <v>680</v>
      </c>
      <c r="B7502" t="s">
        <v>81</v>
      </c>
      <c r="E7502" s="3">
        <f>HYPERLINK("https://sao.dolgi.msk.ru/account/1404263928/", 1404263928)</f>
        <v>1404263928</v>
      </c>
      <c r="F7502">
        <v>-2432.8000000000002</v>
      </c>
    </row>
    <row r="7503" spans="1:6" hidden="1" x14ac:dyDescent="0.25">
      <c r="A7503" t="s">
        <v>680</v>
      </c>
      <c r="B7503" t="s">
        <v>82</v>
      </c>
      <c r="E7503" s="3">
        <f>HYPERLINK("https://sao.dolgi.msk.ru/account/1404263004/", 1404263004)</f>
        <v>1404263004</v>
      </c>
      <c r="F7503">
        <v>0</v>
      </c>
    </row>
    <row r="7504" spans="1:6" x14ac:dyDescent="0.25">
      <c r="A7504" t="s">
        <v>680</v>
      </c>
      <c r="B7504" t="s">
        <v>83</v>
      </c>
      <c r="C7504" s="5" t="str">
        <f t="shared" ref="C7504:C7505" si="303">" кв. "&amp;B7504</f>
        <v xml:space="preserve"> кв. 79</v>
      </c>
      <c r="D7504" s="5" t="str">
        <f>CONCATENATE(A7504,C7504)</f>
        <v>Ленинградское шоссе, дом 108 к.3 кв. 79</v>
      </c>
      <c r="E7504" s="3">
        <f>HYPERLINK("https://sao.dolgi.msk.ru/account/1404263848/", 1404263848)</f>
        <v>1404263848</v>
      </c>
      <c r="F7504">
        <v>1176.6400000000001</v>
      </c>
    </row>
    <row r="7505" spans="1:6" x14ac:dyDescent="0.25">
      <c r="A7505" t="s">
        <v>680</v>
      </c>
      <c r="B7505" t="s">
        <v>84</v>
      </c>
      <c r="C7505" s="5" t="str">
        <f t="shared" si="303"/>
        <v xml:space="preserve"> кв. 80</v>
      </c>
      <c r="D7505" s="5" t="str">
        <f>CONCATENATE(A7505,C7505)</f>
        <v>Ленинградское шоссе, дом 108 к.3 кв. 80</v>
      </c>
      <c r="E7505" s="3">
        <f>HYPERLINK("https://sao.dolgi.msk.ru/account/1404264226/", 1404264226)</f>
        <v>1404264226</v>
      </c>
      <c r="F7505">
        <v>1863.01</v>
      </c>
    </row>
    <row r="7506" spans="1:6" hidden="1" x14ac:dyDescent="0.25">
      <c r="A7506" t="s">
        <v>680</v>
      </c>
      <c r="B7506" t="s">
        <v>85</v>
      </c>
      <c r="E7506" s="3">
        <f>HYPERLINK("https://sao.dolgi.msk.ru/account/1404264058/", 1404264058)</f>
        <v>1404264058</v>
      </c>
      <c r="F7506">
        <v>-2773.24</v>
      </c>
    </row>
    <row r="7507" spans="1:6" hidden="1" x14ac:dyDescent="0.25">
      <c r="A7507" t="s">
        <v>680</v>
      </c>
      <c r="B7507" t="s">
        <v>86</v>
      </c>
      <c r="E7507" s="3">
        <f>HYPERLINK("https://sao.dolgi.msk.ru/account/1404263207/", 1404263207)</f>
        <v>1404263207</v>
      </c>
      <c r="F7507">
        <v>-1448.04</v>
      </c>
    </row>
    <row r="7508" spans="1:6" hidden="1" x14ac:dyDescent="0.25">
      <c r="A7508" t="s">
        <v>680</v>
      </c>
      <c r="B7508" t="s">
        <v>87</v>
      </c>
      <c r="E7508" s="3">
        <f>HYPERLINK("https://sao.dolgi.msk.ru/account/1404263602/", 1404263602)</f>
        <v>1404263602</v>
      </c>
      <c r="F7508">
        <v>-956.78</v>
      </c>
    </row>
    <row r="7509" spans="1:6" hidden="1" x14ac:dyDescent="0.25">
      <c r="A7509" t="s">
        <v>680</v>
      </c>
      <c r="B7509" t="s">
        <v>88</v>
      </c>
      <c r="E7509" s="3">
        <f>HYPERLINK("https://sao.dolgi.msk.ru/account/1404263901/", 1404263901)</f>
        <v>1404263901</v>
      </c>
      <c r="F7509">
        <v>-2717.78</v>
      </c>
    </row>
    <row r="7510" spans="1:6" hidden="1" x14ac:dyDescent="0.25">
      <c r="A7510" t="s">
        <v>680</v>
      </c>
      <c r="B7510" t="s">
        <v>89</v>
      </c>
      <c r="E7510" s="3">
        <f>HYPERLINK("https://sao.dolgi.msk.ru/account/1404262984/", 1404262984)</f>
        <v>1404262984</v>
      </c>
      <c r="F7510">
        <v>0</v>
      </c>
    </row>
    <row r="7511" spans="1:6" hidden="1" x14ac:dyDescent="0.25">
      <c r="A7511" t="s">
        <v>680</v>
      </c>
      <c r="B7511" t="s">
        <v>90</v>
      </c>
      <c r="E7511" s="3">
        <f>HYPERLINK("https://sao.dolgi.msk.ru/account/1404263506/", 1404263506)</f>
        <v>1404263506</v>
      </c>
      <c r="F7511">
        <v>0</v>
      </c>
    </row>
    <row r="7512" spans="1:6" x14ac:dyDescent="0.25">
      <c r="A7512" t="s">
        <v>680</v>
      </c>
      <c r="B7512" t="s">
        <v>91</v>
      </c>
      <c r="C7512" s="5" t="str">
        <f>" кв. "&amp;B7512</f>
        <v xml:space="preserve"> кв. 87</v>
      </c>
      <c r="D7512" s="5" t="str">
        <f>CONCATENATE(A7512,C7512)</f>
        <v>Ленинградское шоссе, дом 108 к.3 кв. 87</v>
      </c>
      <c r="E7512" s="3">
        <f>HYPERLINK("https://sao.dolgi.msk.ru/account/1404262845/", 1404262845)</f>
        <v>1404262845</v>
      </c>
      <c r="F7512">
        <v>1173.47</v>
      </c>
    </row>
    <row r="7513" spans="1:6" hidden="1" x14ac:dyDescent="0.25">
      <c r="A7513" t="s">
        <v>680</v>
      </c>
      <c r="B7513" t="s">
        <v>92</v>
      </c>
      <c r="E7513" s="3">
        <f>HYPERLINK("https://sao.dolgi.msk.ru/account/1404264066/", 1404264066)</f>
        <v>1404264066</v>
      </c>
      <c r="F7513">
        <v>0</v>
      </c>
    </row>
    <row r="7514" spans="1:6" x14ac:dyDescent="0.25">
      <c r="A7514" t="s">
        <v>680</v>
      </c>
      <c r="B7514" t="s">
        <v>93</v>
      </c>
      <c r="C7514" s="5" t="str">
        <f>" кв. "&amp;B7514</f>
        <v xml:space="preserve"> кв. 89</v>
      </c>
      <c r="D7514" s="5" t="str">
        <f>CONCATENATE(A7514,C7514)</f>
        <v>Ленинградское шоссе, дом 108 к.3 кв. 89</v>
      </c>
      <c r="E7514" s="3">
        <f>HYPERLINK("https://sao.dolgi.msk.ru/account/1404263565/", 1404263565)</f>
        <v>1404263565</v>
      </c>
      <c r="F7514">
        <v>1900.96</v>
      </c>
    </row>
    <row r="7515" spans="1:6" hidden="1" x14ac:dyDescent="0.25">
      <c r="A7515" t="s">
        <v>680</v>
      </c>
      <c r="B7515" t="s">
        <v>94</v>
      </c>
      <c r="E7515" s="3">
        <f>HYPERLINK("https://sao.dolgi.msk.ru/account/1404264357/", 1404264357)</f>
        <v>1404264357</v>
      </c>
      <c r="F7515">
        <v>-1719.42</v>
      </c>
    </row>
    <row r="7516" spans="1:6" x14ac:dyDescent="0.25">
      <c r="A7516" t="s">
        <v>680</v>
      </c>
      <c r="B7516" t="s">
        <v>95</v>
      </c>
      <c r="C7516" s="5" t="str">
        <f>" кв. "&amp;B7516</f>
        <v xml:space="preserve"> кв. 91</v>
      </c>
      <c r="D7516" s="5" t="str">
        <f>CONCATENATE(A7516,C7516)</f>
        <v>Ленинградское шоссе, дом 108 к.3 кв. 91</v>
      </c>
      <c r="E7516" s="3">
        <f>HYPERLINK("https://sao.dolgi.msk.ru/account/1404263274/", 1404263274)</f>
        <v>1404263274</v>
      </c>
      <c r="F7516">
        <v>1176.6400000000001</v>
      </c>
    </row>
    <row r="7517" spans="1:6" hidden="1" x14ac:dyDescent="0.25">
      <c r="A7517" t="s">
        <v>680</v>
      </c>
      <c r="B7517" t="s">
        <v>96</v>
      </c>
      <c r="E7517" s="3">
        <f>HYPERLINK("https://sao.dolgi.msk.ru/account/1404262917/", 1404262917)</f>
        <v>1404262917</v>
      </c>
      <c r="F7517">
        <v>-2717.78</v>
      </c>
    </row>
    <row r="7518" spans="1:6" hidden="1" x14ac:dyDescent="0.25">
      <c r="A7518" t="s">
        <v>680</v>
      </c>
      <c r="B7518" t="s">
        <v>97</v>
      </c>
      <c r="E7518" s="3">
        <f>HYPERLINK("https://sao.dolgi.msk.ru/account/1404263178/", 1404263178)</f>
        <v>1404263178</v>
      </c>
      <c r="F7518">
        <v>-1388.92</v>
      </c>
    </row>
    <row r="7519" spans="1:6" hidden="1" x14ac:dyDescent="0.25">
      <c r="A7519" t="s">
        <v>680</v>
      </c>
      <c r="B7519" t="s">
        <v>97</v>
      </c>
      <c r="E7519" s="3">
        <f>HYPERLINK("https://sao.dolgi.msk.ru/account/1404263768/", 1404263768)</f>
        <v>1404263768</v>
      </c>
      <c r="F7519">
        <v>-694.46</v>
      </c>
    </row>
    <row r="7520" spans="1:6" hidden="1" x14ac:dyDescent="0.25">
      <c r="A7520" t="s">
        <v>680</v>
      </c>
      <c r="B7520" t="s">
        <v>98</v>
      </c>
      <c r="E7520" s="3">
        <f>HYPERLINK("https://sao.dolgi.msk.ru/account/1404263039/", 1404263039)</f>
        <v>1404263039</v>
      </c>
      <c r="F7520">
        <v>0</v>
      </c>
    </row>
    <row r="7521" spans="1:6" hidden="1" x14ac:dyDescent="0.25">
      <c r="A7521" t="s">
        <v>680</v>
      </c>
      <c r="B7521" t="s">
        <v>99</v>
      </c>
      <c r="E7521" s="3">
        <f>HYPERLINK("https://sao.dolgi.msk.ru/account/1404263514/", 1404263514)</f>
        <v>1404263514</v>
      </c>
      <c r="F7521">
        <v>-541.32000000000005</v>
      </c>
    </row>
    <row r="7522" spans="1:6" hidden="1" x14ac:dyDescent="0.25">
      <c r="A7522" t="s">
        <v>680</v>
      </c>
      <c r="B7522" t="s">
        <v>100</v>
      </c>
      <c r="E7522" s="3">
        <f>HYPERLINK("https://sao.dolgi.msk.ru/account/1404263143/", 1404263143)</f>
        <v>1404263143</v>
      </c>
      <c r="F7522">
        <v>-1358.9</v>
      </c>
    </row>
    <row r="7523" spans="1:6" hidden="1" x14ac:dyDescent="0.25">
      <c r="A7523" t="s">
        <v>680</v>
      </c>
      <c r="B7523" t="s">
        <v>101</v>
      </c>
      <c r="E7523" s="3">
        <f>HYPERLINK("https://sao.dolgi.msk.ru/account/1404264306/", 1404264306)</f>
        <v>1404264306</v>
      </c>
      <c r="F7523">
        <v>-1679.08</v>
      </c>
    </row>
    <row r="7524" spans="1:6" hidden="1" x14ac:dyDescent="0.25">
      <c r="A7524" t="s">
        <v>680</v>
      </c>
      <c r="B7524" t="s">
        <v>102</v>
      </c>
      <c r="E7524" s="3">
        <f>HYPERLINK("https://sao.dolgi.msk.ru/account/1404263717/", 1404263717)</f>
        <v>1404263717</v>
      </c>
      <c r="F7524">
        <v>-1714.79</v>
      </c>
    </row>
    <row r="7525" spans="1:6" hidden="1" x14ac:dyDescent="0.25">
      <c r="A7525" t="s">
        <v>680</v>
      </c>
      <c r="B7525" t="s">
        <v>103</v>
      </c>
      <c r="E7525" s="3">
        <f>HYPERLINK("https://sao.dolgi.msk.ru/account/1404262896/", 1404262896)</f>
        <v>1404262896</v>
      </c>
      <c r="F7525">
        <v>-1719.42</v>
      </c>
    </row>
    <row r="7526" spans="1:6" hidden="1" x14ac:dyDescent="0.25">
      <c r="A7526" t="s">
        <v>680</v>
      </c>
      <c r="B7526" t="s">
        <v>104</v>
      </c>
      <c r="E7526" s="3">
        <f>HYPERLINK("https://sao.dolgi.msk.ru/account/1404263709/", 1404263709)</f>
        <v>1404263709</v>
      </c>
      <c r="F7526">
        <v>-2041.82</v>
      </c>
    </row>
    <row r="7527" spans="1:6" hidden="1" x14ac:dyDescent="0.25">
      <c r="A7527" t="s">
        <v>680</v>
      </c>
      <c r="B7527" t="s">
        <v>105</v>
      </c>
      <c r="E7527" s="3">
        <f>HYPERLINK("https://sao.dolgi.msk.ru/account/1404263987/", 1404263987)</f>
        <v>1404263987</v>
      </c>
      <c r="F7527">
        <v>-1882.14</v>
      </c>
    </row>
    <row r="7528" spans="1:6" hidden="1" x14ac:dyDescent="0.25">
      <c r="A7528" t="s">
        <v>680</v>
      </c>
      <c r="B7528" t="s">
        <v>106</v>
      </c>
      <c r="E7528" s="3">
        <f>HYPERLINK("https://sao.dolgi.msk.ru/account/1404263362/", 1404263362)</f>
        <v>1404263362</v>
      </c>
      <c r="F7528">
        <v>-859.7</v>
      </c>
    </row>
    <row r="7529" spans="1:6" hidden="1" x14ac:dyDescent="0.25">
      <c r="A7529" t="s">
        <v>680</v>
      </c>
      <c r="B7529" t="s">
        <v>106</v>
      </c>
      <c r="E7529" s="3">
        <f>HYPERLINK("https://sao.dolgi.msk.ru/account/1404263688/", 1404263688)</f>
        <v>1404263688</v>
      </c>
      <c r="F7529">
        <v>-859.7</v>
      </c>
    </row>
    <row r="7530" spans="1:6" hidden="1" x14ac:dyDescent="0.25">
      <c r="A7530" t="s">
        <v>680</v>
      </c>
      <c r="B7530" t="s">
        <v>107</v>
      </c>
      <c r="E7530" s="3">
        <f>HYPERLINK("https://sao.dolgi.msk.ru/account/1404263741/", 1404263741)</f>
        <v>1404263741</v>
      </c>
      <c r="F7530">
        <v>-1724.04</v>
      </c>
    </row>
    <row r="7531" spans="1:6" x14ac:dyDescent="0.25">
      <c r="A7531" t="s">
        <v>680</v>
      </c>
      <c r="B7531" t="s">
        <v>108</v>
      </c>
      <c r="C7531" s="5" t="str">
        <f>" кв. "&amp;B7531</f>
        <v xml:space="preserve"> кв. 104</v>
      </c>
      <c r="D7531" s="5" t="str">
        <f>CONCATENATE(A7531,C7531)</f>
        <v>Ленинградское шоссе, дом 108 к.3 кв. 104</v>
      </c>
      <c r="E7531" s="3">
        <f>HYPERLINK("https://sao.dolgi.msk.ru/account/1404262773/", 1404262773)</f>
        <v>1404262773</v>
      </c>
      <c r="F7531">
        <v>1859.84</v>
      </c>
    </row>
    <row r="7532" spans="1:6" hidden="1" x14ac:dyDescent="0.25">
      <c r="A7532" t="s">
        <v>680</v>
      </c>
      <c r="B7532" t="s">
        <v>109</v>
      </c>
      <c r="E7532" s="3">
        <f>HYPERLINK("https://sao.dolgi.msk.ru/account/1404263063/", 1404263063)</f>
        <v>1404263063</v>
      </c>
      <c r="F7532">
        <v>0</v>
      </c>
    </row>
    <row r="7533" spans="1:6" hidden="1" x14ac:dyDescent="0.25">
      <c r="A7533" t="s">
        <v>680</v>
      </c>
      <c r="B7533" t="s">
        <v>110</v>
      </c>
      <c r="E7533" s="3">
        <f>HYPERLINK("https://sao.dolgi.msk.ru/account/1404264293/", 1404264293)</f>
        <v>1404264293</v>
      </c>
      <c r="F7533">
        <v>0</v>
      </c>
    </row>
    <row r="7534" spans="1:6" hidden="1" x14ac:dyDescent="0.25">
      <c r="A7534" t="s">
        <v>680</v>
      </c>
      <c r="B7534" t="s">
        <v>111</v>
      </c>
      <c r="E7534" s="3">
        <f>HYPERLINK("https://sao.dolgi.msk.ru/account/1404263282/", 1404263282)</f>
        <v>1404263282</v>
      </c>
      <c r="F7534">
        <v>-1724.04</v>
      </c>
    </row>
    <row r="7535" spans="1:6" hidden="1" x14ac:dyDescent="0.25">
      <c r="A7535" t="s">
        <v>680</v>
      </c>
      <c r="B7535" t="s">
        <v>112</v>
      </c>
      <c r="E7535" s="3">
        <f>HYPERLINK("https://sao.dolgi.msk.ru/account/1404263944/", 1404263944)</f>
        <v>1404263944</v>
      </c>
      <c r="F7535">
        <v>0</v>
      </c>
    </row>
    <row r="7536" spans="1:6" hidden="1" x14ac:dyDescent="0.25">
      <c r="A7536" t="s">
        <v>680</v>
      </c>
      <c r="B7536" t="s">
        <v>113</v>
      </c>
      <c r="E7536" s="3">
        <f>HYPERLINK("https://sao.dolgi.msk.ru/account/1404263434/", 1404263434)</f>
        <v>1404263434</v>
      </c>
      <c r="F7536">
        <v>0</v>
      </c>
    </row>
    <row r="7537" spans="1:6" hidden="1" x14ac:dyDescent="0.25">
      <c r="A7537" t="s">
        <v>680</v>
      </c>
      <c r="B7537" t="s">
        <v>114</v>
      </c>
      <c r="E7537" s="3">
        <f>HYPERLINK("https://sao.dolgi.msk.ru/account/1404263899/", 1404263899)</f>
        <v>1404263899</v>
      </c>
      <c r="F7537">
        <v>-1751.76</v>
      </c>
    </row>
    <row r="7538" spans="1:6" hidden="1" x14ac:dyDescent="0.25">
      <c r="A7538" t="s">
        <v>680</v>
      </c>
      <c r="B7538" t="s">
        <v>115</v>
      </c>
      <c r="E7538" s="3">
        <f>HYPERLINK("https://sao.dolgi.msk.ru/account/1404264138/", 1404264138)</f>
        <v>1404264138</v>
      </c>
      <c r="F7538">
        <v>-1747.13</v>
      </c>
    </row>
    <row r="7539" spans="1:6" x14ac:dyDescent="0.25">
      <c r="A7539" t="s">
        <v>680</v>
      </c>
      <c r="B7539" t="s">
        <v>116</v>
      </c>
      <c r="C7539" s="5" t="str">
        <f t="shared" ref="C7539:C7541" si="304">" кв. "&amp;B7539</f>
        <v xml:space="preserve"> кв. 112</v>
      </c>
      <c r="D7539" s="5" t="str">
        <f>CONCATENATE(A7539,C7539)</f>
        <v>Ленинградское шоссе, дом 108 к.3 кв. 112</v>
      </c>
      <c r="E7539" s="3">
        <f>HYPERLINK("https://sao.dolgi.msk.ru/account/1404264277/", 1404264277)</f>
        <v>1404264277</v>
      </c>
      <c r="F7539">
        <v>1005.83</v>
      </c>
    </row>
    <row r="7540" spans="1:6" x14ac:dyDescent="0.25">
      <c r="A7540" t="s">
        <v>680</v>
      </c>
      <c r="B7540" t="s">
        <v>117</v>
      </c>
      <c r="C7540" s="5" t="str">
        <f t="shared" si="304"/>
        <v xml:space="preserve"> кв. 113</v>
      </c>
      <c r="D7540" s="5" t="str">
        <f>CONCATENATE(A7540,C7540)</f>
        <v>Ленинградское шоссе, дом 108 к.3 кв. 113</v>
      </c>
      <c r="E7540" s="3">
        <f>HYPERLINK("https://sao.dolgi.msk.ru/account/1404263426/", 1404263426)</f>
        <v>1404263426</v>
      </c>
      <c r="F7540">
        <v>1897.8</v>
      </c>
    </row>
    <row r="7541" spans="1:6" x14ac:dyDescent="0.25">
      <c r="A7541" t="s">
        <v>680</v>
      </c>
      <c r="B7541" t="s">
        <v>118</v>
      </c>
      <c r="C7541" s="5" t="str">
        <f t="shared" si="304"/>
        <v xml:space="preserve"> кв. 114</v>
      </c>
      <c r="D7541" s="5" t="str">
        <f>CONCATENATE(A7541,C7541)</f>
        <v>Ленинградское шоссе, дом 108 к.3 кв. 114</v>
      </c>
      <c r="E7541" s="3">
        <f>HYPERLINK("https://sao.dolgi.msk.ru/account/1404264103/", 1404264103)</f>
        <v>1404264103</v>
      </c>
      <c r="F7541">
        <v>1195.6099999999999</v>
      </c>
    </row>
    <row r="7542" spans="1:6" hidden="1" x14ac:dyDescent="0.25">
      <c r="A7542" t="s">
        <v>680</v>
      </c>
      <c r="B7542" t="s">
        <v>119</v>
      </c>
      <c r="E7542" s="3">
        <f>HYPERLINK("https://sao.dolgi.msk.ru/account/1404263637/", 1404263637)</f>
        <v>1404263637</v>
      </c>
      <c r="F7542">
        <v>-1742.51</v>
      </c>
    </row>
    <row r="7543" spans="1:6" x14ac:dyDescent="0.25">
      <c r="A7543" t="s">
        <v>680</v>
      </c>
      <c r="B7543" t="s">
        <v>120</v>
      </c>
      <c r="C7543" s="5" t="str">
        <f>" кв. "&amp;B7543</f>
        <v xml:space="preserve"> кв. 116</v>
      </c>
      <c r="D7543" s="5" t="str">
        <f>CONCATENATE(A7543,C7543)</f>
        <v>Ленинградское шоссе, дом 108 к.3 кв. 116</v>
      </c>
      <c r="E7543" s="3">
        <f>HYPERLINK("https://sao.dolgi.msk.ru/account/1404263151/", 1404263151)</f>
        <v>1404263151</v>
      </c>
      <c r="F7543">
        <v>1869.33</v>
      </c>
    </row>
    <row r="7544" spans="1:6" hidden="1" x14ac:dyDescent="0.25">
      <c r="A7544" t="s">
        <v>680</v>
      </c>
      <c r="B7544" t="s">
        <v>121</v>
      </c>
      <c r="E7544" s="3">
        <f>HYPERLINK("https://sao.dolgi.msk.ru/account/1404263696/", 1404263696)</f>
        <v>1404263696</v>
      </c>
      <c r="F7544">
        <v>-2787.11</v>
      </c>
    </row>
    <row r="7545" spans="1:6" hidden="1" x14ac:dyDescent="0.25">
      <c r="A7545" t="s">
        <v>680</v>
      </c>
      <c r="B7545" t="s">
        <v>122</v>
      </c>
      <c r="E7545" s="3">
        <f>HYPERLINK("https://sao.dolgi.msk.ru/account/1404263119/", 1404263119)</f>
        <v>1404263119</v>
      </c>
      <c r="F7545">
        <v>-1747.13</v>
      </c>
    </row>
    <row r="7546" spans="1:6" hidden="1" x14ac:dyDescent="0.25">
      <c r="A7546" t="s">
        <v>680</v>
      </c>
      <c r="B7546" t="s">
        <v>123</v>
      </c>
      <c r="E7546" s="3">
        <f>HYPERLINK("https://sao.dolgi.msk.ru/account/1404264146/", 1404264146)</f>
        <v>1404264146</v>
      </c>
      <c r="F7546">
        <v>-1742.51</v>
      </c>
    </row>
    <row r="7547" spans="1:6" hidden="1" x14ac:dyDescent="0.25">
      <c r="A7547" t="s">
        <v>680</v>
      </c>
      <c r="B7547" t="s">
        <v>124</v>
      </c>
      <c r="E7547" s="3">
        <f>HYPERLINK("https://sao.dolgi.msk.ru/account/1404264349/", 1404264349)</f>
        <v>1404264349</v>
      </c>
      <c r="F7547">
        <v>0</v>
      </c>
    </row>
    <row r="7548" spans="1:6" x14ac:dyDescent="0.25">
      <c r="A7548" t="s">
        <v>680</v>
      </c>
      <c r="B7548" t="s">
        <v>125</v>
      </c>
      <c r="C7548" s="5" t="str">
        <f>" кв. "&amp;B7548</f>
        <v xml:space="preserve"> кв. 121</v>
      </c>
      <c r="D7548" s="5" t="str">
        <f>CONCATENATE(A7548,C7548)</f>
        <v>Ленинградское шоссе, дом 108 к.3 кв. 121</v>
      </c>
      <c r="E7548" s="3">
        <f>HYPERLINK("https://sao.dolgi.msk.ru/account/1404264154/", 1404264154)</f>
        <v>1404264154</v>
      </c>
      <c r="F7548">
        <v>1900.96</v>
      </c>
    </row>
    <row r="7549" spans="1:6" hidden="1" x14ac:dyDescent="0.25">
      <c r="A7549" t="s">
        <v>680</v>
      </c>
      <c r="B7549" t="s">
        <v>126</v>
      </c>
      <c r="E7549" s="3">
        <f>HYPERLINK("https://sao.dolgi.msk.ru/account/1404263194/", 1404263194)</f>
        <v>1404263194</v>
      </c>
      <c r="F7549">
        <v>-1751.76</v>
      </c>
    </row>
    <row r="7550" spans="1:6" hidden="1" x14ac:dyDescent="0.25">
      <c r="A7550" t="s">
        <v>680</v>
      </c>
      <c r="B7550" t="s">
        <v>127</v>
      </c>
      <c r="E7550" s="3">
        <f>HYPERLINK("https://sao.dolgi.msk.ru/account/1404263047/", 1404263047)</f>
        <v>1404263047</v>
      </c>
      <c r="F7550">
        <v>-1747.13</v>
      </c>
    </row>
    <row r="7551" spans="1:6" hidden="1" x14ac:dyDescent="0.25">
      <c r="A7551" t="s">
        <v>680</v>
      </c>
      <c r="B7551" t="s">
        <v>128</v>
      </c>
      <c r="E7551" s="3">
        <f>HYPERLINK("https://sao.dolgi.msk.ru/account/1404263776/", 1404263776)</f>
        <v>1404263776</v>
      </c>
      <c r="F7551">
        <v>0</v>
      </c>
    </row>
    <row r="7552" spans="1:6" hidden="1" x14ac:dyDescent="0.25">
      <c r="A7552" t="s">
        <v>680</v>
      </c>
      <c r="B7552" t="s">
        <v>129</v>
      </c>
      <c r="E7552" s="3">
        <f>HYPERLINK("https://sao.dolgi.msk.ru/account/1404264074/", 1404264074)</f>
        <v>1404264074</v>
      </c>
      <c r="F7552">
        <v>-2777.86</v>
      </c>
    </row>
    <row r="7553" spans="1:6" hidden="1" x14ac:dyDescent="0.25">
      <c r="A7553" t="s">
        <v>680</v>
      </c>
      <c r="B7553" t="s">
        <v>130</v>
      </c>
      <c r="E7553" s="3">
        <f>HYPERLINK("https://sao.dolgi.msk.ru/account/1404262925/", 1404262925)</f>
        <v>1404262925</v>
      </c>
      <c r="F7553">
        <v>-1747.13</v>
      </c>
    </row>
    <row r="7554" spans="1:6" hidden="1" x14ac:dyDescent="0.25">
      <c r="A7554" t="s">
        <v>680</v>
      </c>
      <c r="B7554" t="s">
        <v>131</v>
      </c>
      <c r="E7554" s="3">
        <f>HYPERLINK("https://sao.dolgi.msk.ru/account/1404263469/", 1404263469)</f>
        <v>1404263469</v>
      </c>
      <c r="F7554">
        <v>0</v>
      </c>
    </row>
    <row r="7555" spans="1:6" x14ac:dyDescent="0.25">
      <c r="A7555" t="s">
        <v>680</v>
      </c>
      <c r="B7555" t="s">
        <v>132</v>
      </c>
      <c r="C7555" s="5" t="str">
        <f t="shared" ref="C7555:C7557" si="305">" кв. "&amp;B7555</f>
        <v xml:space="preserve"> кв. 128</v>
      </c>
      <c r="D7555" s="5" t="str">
        <f>CONCATENATE(A7555,C7555)</f>
        <v>Ленинградское шоссе, дом 108 к.3 кв. 128</v>
      </c>
      <c r="E7555" s="3">
        <f>HYPERLINK("https://sao.dolgi.msk.ru/account/1404263864/", 1404263864)</f>
        <v>1404263864</v>
      </c>
      <c r="F7555">
        <v>1859.84</v>
      </c>
    </row>
    <row r="7556" spans="1:6" x14ac:dyDescent="0.25">
      <c r="A7556" t="s">
        <v>681</v>
      </c>
      <c r="B7556" t="s">
        <v>292</v>
      </c>
      <c r="C7556" s="5" t="str">
        <f t="shared" si="305"/>
        <v xml:space="preserve"> кв. 285</v>
      </c>
      <c r="D7556" s="5" t="str">
        <f>CONCATENATE(A7556,C7556)</f>
        <v>Ленинградское шоссе, дом 112 к.2 кв. 285</v>
      </c>
      <c r="E7556" s="3">
        <f>HYPERLINK("https://sao.dolgi.msk.ru/account/1404265421/", 1404265421)</f>
        <v>1404265421</v>
      </c>
      <c r="F7556">
        <v>911.6</v>
      </c>
    </row>
    <row r="7557" spans="1:6" x14ac:dyDescent="0.25">
      <c r="A7557" t="s">
        <v>681</v>
      </c>
      <c r="B7557" t="s">
        <v>293</v>
      </c>
      <c r="C7557" s="5" t="str">
        <f t="shared" si="305"/>
        <v xml:space="preserve"> кв. 286</v>
      </c>
      <c r="D7557" s="5" t="str">
        <f>CONCATENATE(A7557,C7557)</f>
        <v>Ленинградское шоссе, дом 112 к.2 кв. 286</v>
      </c>
      <c r="E7557" s="3">
        <f>HYPERLINK("https://sao.dolgi.msk.ru/account/1404264373/", 1404264373)</f>
        <v>1404264373</v>
      </c>
      <c r="F7557">
        <v>1017.6</v>
      </c>
    </row>
    <row r="7558" spans="1:6" hidden="1" x14ac:dyDescent="0.25">
      <c r="A7558" t="s">
        <v>681</v>
      </c>
      <c r="B7558" t="s">
        <v>294</v>
      </c>
      <c r="E7558" s="3">
        <f>HYPERLINK("https://sao.dolgi.msk.ru/account/1404264381/", 1404264381)</f>
        <v>1404264381</v>
      </c>
      <c r="F7558">
        <v>-1232.72</v>
      </c>
    </row>
    <row r="7559" spans="1:6" x14ac:dyDescent="0.25">
      <c r="A7559" t="s">
        <v>681</v>
      </c>
      <c r="B7559" t="s">
        <v>295</v>
      </c>
      <c r="C7559" s="5" t="str">
        <f>" кв. "&amp;B7559</f>
        <v xml:space="preserve"> кв. 288</v>
      </c>
      <c r="D7559" s="5" t="str">
        <f>CONCATENATE(A7559,C7559)</f>
        <v>Ленинградское шоссе, дом 112 к.2 кв. 288</v>
      </c>
      <c r="E7559" s="3">
        <f>HYPERLINK("https://sao.dolgi.msk.ru/account/1404266387/", 1404266387)</f>
        <v>1404266387</v>
      </c>
      <c r="F7559">
        <v>1489.3</v>
      </c>
    </row>
    <row r="7560" spans="1:6" hidden="1" x14ac:dyDescent="0.25">
      <c r="A7560" t="s">
        <v>681</v>
      </c>
      <c r="B7560" t="s">
        <v>296</v>
      </c>
      <c r="E7560" s="3">
        <f>HYPERLINK("https://sao.dolgi.msk.ru/account/1404267304/", 1404267304)</f>
        <v>1404267304</v>
      </c>
      <c r="F7560">
        <v>0</v>
      </c>
    </row>
    <row r="7561" spans="1:6" hidden="1" x14ac:dyDescent="0.25">
      <c r="A7561" t="s">
        <v>681</v>
      </c>
      <c r="B7561" t="s">
        <v>297</v>
      </c>
      <c r="E7561" s="3">
        <f>HYPERLINK("https://sao.dolgi.msk.ru/account/1404267742/", 1404267742)</f>
        <v>1404267742</v>
      </c>
      <c r="F7561">
        <v>0</v>
      </c>
    </row>
    <row r="7562" spans="1:6" hidden="1" x14ac:dyDescent="0.25">
      <c r="A7562" t="s">
        <v>681</v>
      </c>
      <c r="B7562" t="s">
        <v>298</v>
      </c>
      <c r="E7562" s="3">
        <f>HYPERLINK("https://sao.dolgi.msk.ru/account/1404266053/", 1404266053)</f>
        <v>1404266053</v>
      </c>
      <c r="F7562">
        <v>0</v>
      </c>
    </row>
    <row r="7563" spans="1:6" x14ac:dyDescent="0.25">
      <c r="A7563" t="s">
        <v>681</v>
      </c>
      <c r="B7563" t="s">
        <v>299</v>
      </c>
      <c r="C7563" s="5" t="str">
        <f t="shared" ref="C7563:C7564" si="306">" кв. "&amp;B7563</f>
        <v xml:space="preserve"> кв. 292</v>
      </c>
      <c r="D7563" s="5" t="str">
        <f>CONCATENATE(A7563,C7563)</f>
        <v>Ленинградское шоссе, дом 112 к.2 кв. 292</v>
      </c>
      <c r="E7563" s="3">
        <f>HYPERLINK("https://sao.dolgi.msk.ru/account/1404267312/", 1404267312)</f>
        <v>1404267312</v>
      </c>
      <c r="F7563">
        <v>1796.58</v>
      </c>
    </row>
    <row r="7564" spans="1:6" x14ac:dyDescent="0.25">
      <c r="A7564" t="s">
        <v>681</v>
      </c>
      <c r="B7564" t="s">
        <v>300</v>
      </c>
      <c r="C7564" s="5" t="str">
        <f t="shared" si="306"/>
        <v xml:space="preserve"> кв. 293</v>
      </c>
      <c r="D7564" s="5" t="str">
        <f>CONCATENATE(A7564,C7564)</f>
        <v>Ленинградское шоссе, дом 112 к.2 кв. 293</v>
      </c>
      <c r="E7564" s="3">
        <f>HYPERLINK("https://sao.dolgi.msk.ru/account/1404266061/", 1404266061)</f>
        <v>1404266061</v>
      </c>
      <c r="F7564">
        <v>547.20000000000005</v>
      </c>
    </row>
    <row r="7565" spans="1:6" hidden="1" x14ac:dyDescent="0.25">
      <c r="A7565" t="s">
        <v>681</v>
      </c>
      <c r="B7565" t="s">
        <v>301</v>
      </c>
      <c r="E7565" s="3">
        <f>HYPERLINK("https://sao.dolgi.msk.ru/account/1404266862/", 1404266862)</f>
        <v>1404266862</v>
      </c>
      <c r="F7565">
        <v>0</v>
      </c>
    </row>
    <row r="7566" spans="1:6" hidden="1" x14ac:dyDescent="0.25">
      <c r="A7566" t="s">
        <v>681</v>
      </c>
      <c r="B7566" t="s">
        <v>302</v>
      </c>
      <c r="E7566" s="3">
        <f>HYPERLINK("https://sao.dolgi.msk.ru/account/1404266889/", 1404266889)</f>
        <v>1404266889</v>
      </c>
      <c r="F7566">
        <v>-674.82</v>
      </c>
    </row>
    <row r="7567" spans="1:6" x14ac:dyDescent="0.25">
      <c r="A7567" t="s">
        <v>681</v>
      </c>
      <c r="B7567" t="s">
        <v>303</v>
      </c>
      <c r="C7567" s="5" t="str">
        <f t="shared" ref="C7567:C7568" si="307">" кв. "&amp;B7567</f>
        <v xml:space="preserve"> кв. 296</v>
      </c>
      <c r="D7567" s="5" t="str">
        <f>CONCATENATE(A7567,C7567)</f>
        <v>Ленинградское шоссе, дом 112 к.2 кв. 296</v>
      </c>
      <c r="E7567" s="3">
        <f>HYPERLINK("https://sao.dolgi.msk.ru/account/1404266088/", 1404266088)</f>
        <v>1404266088</v>
      </c>
      <c r="F7567">
        <v>891.96</v>
      </c>
    </row>
    <row r="7568" spans="1:6" x14ac:dyDescent="0.25">
      <c r="A7568" t="s">
        <v>681</v>
      </c>
      <c r="B7568" t="s">
        <v>304</v>
      </c>
      <c r="C7568" s="5" t="str">
        <f t="shared" si="307"/>
        <v xml:space="preserve"> кв. 297</v>
      </c>
      <c r="D7568" s="5" t="str">
        <f>CONCATENATE(A7568,C7568)</f>
        <v>Ленинградское шоссе, дом 112 к.2 кв. 297</v>
      </c>
      <c r="E7568" s="3">
        <f>HYPERLINK("https://sao.dolgi.msk.ru/account/1404266563/", 1404266563)</f>
        <v>1404266563</v>
      </c>
      <c r="F7568">
        <v>1100.72</v>
      </c>
    </row>
    <row r="7569" spans="1:6" hidden="1" x14ac:dyDescent="0.25">
      <c r="A7569" t="s">
        <v>681</v>
      </c>
      <c r="B7569" t="s">
        <v>305</v>
      </c>
      <c r="E7569" s="3">
        <f>HYPERLINK("https://sao.dolgi.msk.ru/account/1404265085/", 1404265085)</f>
        <v>1404265085</v>
      </c>
      <c r="F7569">
        <v>-1524.89</v>
      </c>
    </row>
    <row r="7570" spans="1:6" x14ac:dyDescent="0.25">
      <c r="A7570" t="s">
        <v>681</v>
      </c>
      <c r="B7570" t="s">
        <v>306</v>
      </c>
      <c r="C7570" s="5" t="str">
        <f>" кв. "&amp;B7570</f>
        <v xml:space="preserve"> кв. 299</v>
      </c>
      <c r="D7570" s="5" t="str">
        <f>CONCATENATE(A7570,C7570)</f>
        <v>Ленинградское шоссе, дом 112 к.2 кв. 299</v>
      </c>
      <c r="E7570" s="3">
        <f>HYPERLINK("https://sao.dolgi.msk.ru/account/1404266897/", 1404266897)</f>
        <v>1404266897</v>
      </c>
      <c r="F7570">
        <v>469.7</v>
      </c>
    </row>
    <row r="7571" spans="1:6" hidden="1" x14ac:dyDescent="0.25">
      <c r="A7571" t="s">
        <v>681</v>
      </c>
      <c r="B7571" t="s">
        <v>307</v>
      </c>
      <c r="E7571" s="3">
        <f>HYPERLINK("https://sao.dolgi.msk.ru/account/1404266571/", 1404266571)</f>
        <v>1404266571</v>
      </c>
      <c r="F7571">
        <v>-4398.58</v>
      </c>
    </row>
    <row r="7572" spans="1:6" x14ac:dyDescent="0.25">
      <c r="A7572" t="s">
        <v>681</v>
      </c>
      <c r="B7572" t="s">
        <v>308</v>
      </c>
      <c r="C7572" s="5" t="str">
        <f t="shared" ref="C7572:C7573" si="308">" кв. "&amp;B7572</f>
        <v xml:space="preserve"> кв. 301</v>
      </c>
      <c r="D7572" s="5" t="str">
        <f>CONCATENATE(A7572,C7572)</f>
        <v>Ленинградское шоссе, дом 112 к.2 кв. 301</v>
      </c>
      <c r="E7572" s="3">
        <f>HYPERLINK("https://sao.dolgi.msk.ru/account/1404266096/", 1404266096)</f>
        <v>1404266096</v>
      </c>
      <c r="F7572">
        <v>1107.05</v>
      </c>
    </row>
    <row r="7573" spans="1:6" x14ac:dyDescent="0.25">
      <c r="A7573" t="s">
        <v>681</v>
      </c>
      <c r="B7573" t="s">
        <v>309</v>
      </c>
      <c r="C7573" s="5" t="str">
        <f t="shared" si="308"/>
        <v xml:space="preserve"> кв. 302</v>
      </c>
      <c r="D7573" s="5" t="str">
        <f>CONCATENATE(A7573,C7573)</f>
        <v>Ленинградское шоссе, дом 112 к.2 кв. 302</v>
      </c>
      <c r="E7573" s="3">
        <f>HYPERLINK("https://sao.dolgi.msk.ru/account/1404265632/", 1404265632)</f>
        <v>1404265632</v>
      </c>
      <c r="F7573">
        <v>1205.0999999999999</v>
      </c>
    </row>
    <row r="7574" spans="1:6" hidden="1" x14ac:dyDescent="0.25">
      <c r="A7574" t="s">
        <v>681</v>
      </c>
      <c r="B7574" t="s">
        <v>310</v>
      </c>
      <c r="E7574" s="3">
        <f>HYPERLINK("https://sao.dolgi.msk.ru/account/1404265659/", 1404265659)</f>
        <v>1404265659</v>
      </c>
      <c r="F7574">
        <v>-1386.62</v>
      </c>
    </row>
    <row r="7575" spans="1:6" hidden="1" x14ac:dyDescent="0.25">
      <c r="A7575" t="s">
        <v>681</v>
      </c>
      <c r="B7575" t="s">
        <v>311</v>
      </c>
      <c r="E7575" s="3">
        <f>HYPERLINK("https://sao.dolgi.msk.ru/account/1404266598/", 1404266598)</f>
        <v>1404266598</v>
      </c>
      <c r="F7575">
        <v>0</v>
      </c>
    </row>
    <row r="7576" spans="1:6" x14ac:dyDescent="0.25">
      <c r="A7576" t="s">
        <v>681</v>
      </c>
      <c r="B7576" t="s">
        <v>312</v>
      </c>
      <c r="C7576" s="5" t="str">
        <f>" кв. "&amp;B7576</f>
        <v xml:space="preserve"> кв. 305</v>
      </c>
      <c r="D7576" s="5" t="str">
        <f>CONCATENATE(A7576,C7576)</f>
        <v>Ленинградское шоссе, дом 112 к.2 кв. 305</v>
      </c>
      <c r="E7576" s="3">
        <f>HYPERLINK("https://sao.dolgi.msk.ru/account/1404264605/", 1404264605)</f>
        <v>1404264605</v>
      </c>
      <c r="F7576">
        <v>1094.4000000000001</v>
      </c>
    </row>
    <row r="7577" spans="1:6" hidden="1" x14ac:dyDescent="0.25">
      <c r="A7577" t="s">
        <v>681</v>
      </c>
      <c r="B7577" t="s">
        <v>313</v>
      </c>
      <c r="E7577" s="3">
        <f>HYPERLINK("https://sao.dolgi.msk.ru/account/1404267769/", 1404267769)</f>
        <v>1404267769</v>
      </c>
      <c r="F7577">
        <v>-1498.62</v>
      </c>
    </row>
    <row r="7578" spans="1:6" hidden="1" x14ac:dyDescent="0.25">
      <c r="A7578" t="s">
        <v>681</v>
      </c>
      <c r="B7578" t="s">
        <v>314</v>
      </c>
      <c r="E7578" s="3">
        <f>HYPERLINK("https://sao.dolgi.msk.ru/account/1404264613/", 1404264613)</f>
        <v>1404264613</v>
      </c>
      <c r="F7578">
        <v>-1395.87</v>
      </c>
    </row>
    <row r="7579" spans="1:6" hidden="1" x14ac:dyDescent="0.25">
      <c r="A7579" t="s">
        <v>681</v>
      </c>
      <c r="B7579" t="s">
        <v>315</v>
      </c>
      <c r="E7579" s="3">
        <f>HYPERLINK("https://sao.dolgi.msk.ru/account/1404266619/", 1404266619)</f>
        <v>1404266619</v>
      </c>
      <c r="F7579">
        <v>-2657.69</v>
      </c>
    </row>
    <row r="7580" spans="1:6" hidden="1" x14ac:dyDescent="0.25">
      <c r="A7580" t="s">
        <v>681</v>
      </c>
      <c r="B7580" t="s">
        <v>316</v>
      </c>
      <c r="E7580" s="3">
        <f>HYPERLINK("https://sao.dolgi.msk.ru/account/1404266109/", 1404266109)</f>
        <v>1404266109</v>
      </c>
      <c r="F7580">
        <v>0</v>
      </c>
    </row>
    <row r="7581" spans="1:6" hidden="1" x14ac:dyDescent="0.25">
      <c r="A7581" t="s">
        <v>681</v>
      </c>
      <c r="B7581" t="s">
        <v>317</v>
      </c>
      <c r="E7581" s="3">
        <f>HYPERLINK("https://sao.dolgi.msk.ru/account/1404266918/", 1404266918)</f>
        <v>1404266918</v>
      </c>
      <c r="F7581">
        <v>-1007.61</v>
      </c>
    </row>
    <row r="7582" spans="1:6" x14ac:dyDescent="0.25">
      <c r="A7582" t="s">
        <v>681</v>
      </c>
      <c r="B7582" t="s">
        <v>318</v>
      </c>
      <c r="C7582" s="5" t="str">
        <f>" кв. "&amp;B7582</f>
        <v xml:space="preserve"> кв. 311</v>
      </c>
      <c r="D7582" s="5" t="str">
        <f>CONCATENATE(A7582,C7582)</f>
        <v>Ленинградское шоссе, дом 112 к.2 кв. 311</v>
      </c>
      <c r="E7582" s="3">
        <f>HYPERLINK("https://sao.dolgi.msk.ru/account/1404267515/", 1404267515)</f>
        <v>1404267515</v>
      </c>
      <c r="F7582">
        <v>939.41</v>
      </c>
    </row>
    <row r="7583" spans="1:6" hidden="1" x14ac:dyDescent="0.25">
      <c r="A7583" t="s">
        <v>681</v>
      </c>
      <c r="B7583" t="s">
        <v>319</v>
      </c>
      <c r="E7583" s="3">
        <f>HYPERLINK("https://sao.dolgi.msk.ru/account/1404264816/", 1404264816)</f>
        <v>1404264816</v>
      </c>
      <c r="F7583">
        <v>-2653.06</v>
      </c>
    </row>
    <row r="7584" spans="1:6" x14ac:dyDescent="0.25">
      <c r="A7584" t="s">
        <v>681</v>
      </c>
      <c r="B7584" t="s">
        <v>422</v>
      </c>
      <c r="C7584" s="5" t="str">
        <f>" кв. "&amp;B7584</f>
        <v xml:space="preserve"> кв. 313</v>
      </c>
      <c r="D7584" s="5" t="str">
        <f>CONCATENATE(A7584,C7584)</f>
        <v>Ленинградское шоссе, дом 112 к.2 кв. 313</v>
      </c>
      <c r="E7584" s="3">
        <f>HYPERLINK("https://sao.dolgi.msk.ru/account/1404266272/", 1404266272)</f>
        <v>1404266272</v>
      </c>
      <c r="F7584">
        <v>1110.21</v>
      </c>
    </row>
    <row r="7585" spans="1:6" hidden="1" x14ac:dyDescent="0.25">
      <c r="A7585" t="s">
        <v>681</v>
      </c>
      <c r="B7585" t="s">
        <v>423</v>
      </c>
      <c r="E7585" s="3">
        <f>HYPERLINK("https://sao.dolgi.msk.ru/account/1404266678/", 1404266678)</f>
        <v>1404266678</v>
      </c>
      <c r="F7585">
        <v>-1751.76</v>
      </c>
    </row>
    <row r="7586" spans="1:6" hidden="1" x14ac:dyDescent="0.25">
      <c r="A7586" t="s">
        <v>681</v>
      </c>
      <c r="B7586" t="s">
        <v>424</v>
      </c>
      <c r="E7586" s="3">
        <f>HYPERLINK("https://sao.dolgi.msk.ru/account/1404264824/", 1404264824)</f>
        <v>1404264824</v>
      </c>
      <c r="F7586">
        <v>-1400.49</v>
      </c>
    </row>
    <row r="7587" spans="1:6" hidden="1" x14ac:dyDescent="0.25">
      <c r="A7587" t="s">
        <v>681</v>
      </c>
      <c r="B7587" t="s">
        <v>425</v>
      </c>
      <c r="E7587" s="3">
        <f>HYPERLINK("https://sao.dolgi.msk.ru/account/1404265309/", 1404265309)</f>
        <v>1404265309</v>
      </c>
      <c r="F7587">
        <v>0</v>
      </c>
    </row>
    <row r="7588" spans="1:6" hidden="1" x14ac:dyDescent="0.25">
      <c r="A7588" t="s">
        <v>681</v>
      </c>
      <c r="B7588" t="s">
        <v>426</v>
      </c>
      <c r="E7588" s="3">
        <f>HYPERLINK("https://sao.dolgi.msk.ru/account/1404266299/", 1404266299)</f>
        <v>1404266299</v>
      </c>
      <c r="F7588">
        <v>-1599.24</v>
      </c>
    </row>
    <row r="7589" spans="1:6" x14ac:dyDescent="0.25">
      <c r="A7589" t="s">
        <v>681</v>
      </c>
      <c r="B7589" t="s">
        <v>427</v>
      </c>
      <c r="C7589" s="5" t="str">
        <f>" кв. "&amp;B7589</f>
        <v xml:space="preserve"> кв. 318</v>
      </c>
      <c r="D7589" s="5" t="str">
        <f>CONCATENATE(A7589,C7589)</f>
        <v>Ленинградское шоссе, дом 112 к.2 кв. 318</v>
      </c>
      <c r="E7589" s="3">
        <f>HYPERLINK("https://sao.dolgi.msk.ru/account/1404267021/", 1404267021)</f>
        <v>1404267021</v>
      </c>
      <c r="F7589">
        <v>1176.6400000000001</v>
      </c>
    </row>
    <row r="7590" spans="1:6" hidden="1" x14ac:dyDescent="0.25">
      <c r="A7590" t="s">
        <v>681</v>
      </c>
      <c r="B7590" t="s">
        <v>428</v>
      </c>
      <c r="E7590" s="3">
        <f>HYPERLINK("https://sao.dolgi.msk.ru/account/1404265317/", 1404265317)</f>
        <v>1404265317</v>
      </c>
      <c r="F7590">
        <v>0</v>
      </c>
    </row>
    <row r="7591" spans="1:6" x14ac:dyDescent="0.25">
      <c r="A7591" t="s">
        <v>681</v>
      </c>
      <c r="B7591" t="s">
        <v>321</v>
      </c>
      <c r="C7591" s="5" t="str">
        <f>" кв. "&amp;B7591</f>
        <v xml:space="preserve"> кв. 320</v>
      </c>
      <c r="D7591" s="5" t="str">
        <f>CONCATENATE(A7591,C7591)</f>
        <v>Ленинградское шоссе, дом 112 к.2 кв. 320</v>
      </c>
      <c r="E7591" s="3">
        <f>HYPERLINK("https://sao.dolgi.msk.ru/account/1404265325/", 1404265325)</f>
        <v>1404265325</v>
      </c>
      <c r="F7591">
        <v>407.78</v>
      </c>
    </row>
    <row r="7592" spans="1:6" hidden="1" x14ac:dyDescent="0.25">
      <c r="A7592" t="s">
        <v>681</v>
      </c>
      <c r="B7592" t="s">
        <v>321</v>
      </c>
      <c r="E7592" s="3">
        <f>HYPERLINK("https://sao.dolgi.msk.ru/account/1404267523/", 1404267523)</f>
        <v>1404267523</v>
      </c>
      <c r="F7592">
        <v>-1992.48</v>
      </c>
    </row>
    <row r="7593" spans="1:6" hidden="1" x14ac:dyDescent="0.25">
      <c r="A7593" t="s">
        <v>681</v>
      </c>
      <c r="B7593" t="s">
        <v>322</v>
      </c>
      <c r="E7593" s="3">
        <f>HYPERLINK("https://sao.dolgi.msk.ru/account/1404267048/", 1404267048)</f>
        <v>1404267048</v>
      </c>
      <c r="F7593">
        <v>-825.84</v>
      </c>
    </row>
    <row r="7594" spans="1:6" hidden="1" x14ac:dyDescent="0.25">
      <c r="A7594" t="s">
        <v>681</v>
      </c>
      <c r="B7594" t="s">
        <v>323</v>
      </c>
      <c r="E7594" s="3">
        <f>HYPERLINK("https://sao.dolgi.msk.ru/account/1404265755/", 1404265755)</f>
        <v>1404265755</v>
      </c>
      <c r="F7594">
        <v>-1660.06</v>
      </c>
    </row>
    <row r="7595" spans="1:6" x14ac:dyDescent="0.25">
      <c r="A7595" t="s">
        <v>681</v>
      </c>
      <c r="B7595" t="s">
        <v>324</v>
      </c>
      <c r="C7595" s="5" t="str">
        <f t="shared" ref="C7595:C7596" si="309">" кв. "&amp;B7595</f>
        <v xml:space="preserve"> кв. 323</v>
      </c>
      <c r="D7595" s="5" t="str">
        <f>CONCATENATE(A7595,C7595)</f>
        <v>Ленинградское шоссе, дом 112 к.2 кв. 323</v>
      </c>
      <c r="E7595" s="3">
        <f>HYPERLINK("https://sao.dolgi.msk.ru/account/1404266301/", 1404266301)</f>
        <v>1404266301</v>
      </c>
      <c r="F7595">
        <v>797.65</v>
      </c>
    </row>
    <row r="7596" spans="1:6" x14ac:dyDescent="0.25">
      <c r="A7596" t="s">
        <v>681</v>
      </c>
      <c r="B7596" t="s">
        <v>325</v>
      </c>
      <c r="C7596" s="5" t="str">
        <f t="shared" si="309"/>
        <v xml:space="preserve"> кв. 324</v>
      </c>
      <c r="D7596" s="5" t="str">
        <f>CONCATENATE(A7596,C7596)</f>
        <v>Ленинградское шоссе, дом 112 к.2 кв. 324</v>
      </c>
      <c r="E7596" s="3">
        <f>HYPERLINK("https://sao.dolgi.msk.ru/account/1404267531/", 1404267531)</f>
        <v>1404267531</v>
      </c>
      <c r="F7596">
        <v>1462.8</v>
      </c>
    </row>
    <row r="7597" spans="1:6" hidden="1" x14ac:dyDescent="0.25">
      <c r="A7597" t="s">
        <v>681</v>
      </c>
      <c r="B7597" t="s">
        <v>326</v>
      </c>
      <c r="E7597" s="3">
        <f>HYPERLINK("https://sao.dolgi.msk.ru/account/1404267849/", 1404267849)</f>
        <v>1404267849</v>
      </c>
      <c r="F7597">
        <v>0</v>
      </c>
    </row>
    <row r="7598" spans="1:6" hidden="1" x14ac:dyDescent="0.25">
      <c r="A7598" t="s">
        <v>681</v>
      </c>
      <c r="B7598" t="s">
        <v>327</v>
      </c>
      <c r="E7598" s="3">
        <f>HYPERLINK("https://sao.dolgi.msk.ru/account/1404266758/", 1404266758)</f>
        <v>1404266758</v>
      </c>
      <c r="F7598">
        <v>-1572.57</v>
      </c>
    </row>
    <row r="7599" spans="1:6" hidden="1" x14ac:dyDescent="0.25">
      <c r="A7599" t="s">
        <v>681</v>
      </c>
      <c r="B7599" t="s">
        <v>328</v>
      </c>
      <c r="E7599" s="3">
        <f>HYPERLINK("https://sao.dolgi.msk.ru/account/1404266395/", 1404266395)</f>
        <v>1404266395</v>
      </c>
      <c r="F7599">
        <v>-1382</v>
      </c>
    </row>
    <row r="7600" spans="1:6" hidden="1" x14ac:dyDescent="0.25">
      <c r="A7600" t="s">
        <v>681</v>
      </c>
      <c r="B7600" t="s">
        <v>329</v>
      </c>
      <c r="E7600" s="3">
        <f>HYPERLINK("https://sao.dolgi.msk.ru/account/1404265448/", 1404265448)</f>
        <v>1404265448</v>
      </c>
      <c r="F7600">
        <v>0</v>
      </c>
    </row>
    <row r="7601" spans="1:6" hidden="1" x14ac:dyDescent="0.25">
      <c r="A7601" t="s">
        <v>681</v>
      </c>
      <c r="B7601" t="s">
        <v>330</v>
      </c>
      <c r="E7601" s="3">
        <f>HYPERLINK("https://sao.dolgi.msk.ru/account/1404264402/", 1404264402)</f>
        <v>1404264402</v>
      </c>
      <c r="F7601">
        <v>0</v>
      </c>
    </row>
    <row r="7602" spans="1:6" hidden="1" x14ac:dyDescent="0.25">
      <c r="A7602" t="s">
        <v>681</v>
      </c>
      <c r="B7602" t="s">
        <v>331</v>
      </c>
      <c r="E7602" s="3">
        <f>HYPERLINK("https://sao.dolgi.msk.ru/account/1404266408/", 1404266408)</f>
        <v>1404266408</v>
      </c>
      <c r="F7602">
        <v>-1876.56</v>
      </c>
    </row>
    <row r="7603" spans="1:6" x14ac:dyDescent="0.25">
      <c r="A7603" t="s">
        <v>681</v>
      </c>
      <c r="B7603" t="s">
        <v>332</v>
      </c>
      <c r="C7603" s="5" t="str">
        <f>" кв. "&amp;B7603</f>
        <v xml:space="preserve"> кв. 331</v>
      </c>
      <c r="D7603" s="5" t="str">
        <f>CONCATENATE(A7603,C7603)</f>
        <v>Ленинградское шоссе, дом 112 к.2 кв. 331</v>
      </c>
      <c r="E7603" s="3">
        <f>HYPERLINK("https://sao.dolgi.msk.ru/account/1404264429/", 1404264429)</f>
        <v>1404264429</v>
      </c>
      <c r="F7603">
        <v>948.9</v>
      </c>
    </row>
    <row r="7604" spans="1:6" hidden="1" x14ac:dyDescent="0.25">
      <c r="A7604" t="s">
        <v>681</v>
      </c>
      <c r="B7604" t="s">
        <v>333</v>
      </c>
      <c r="E7604" s="3">
        <f>HYPERLINK("https://sao.dolgi.msk.ru/account/1404267582/", 1404267582)</f>
        <v>1404267582</v>
      </c>
      <c r="F7604">
        <v>-1821.1</v>
      </c>
    </row>
    <row r="7605" spans="1:6" x14ac:dyDescent="0.25">
      <c r="A7605" t="s">
        <v>681</v>
      </c>
      <c r="B7605" t="s">
        <v>334</v>
      </c>
      <c r="C7605" s="5" t="str">
        <f>" кв. "&amp;B7605</f>
        <v xml:space="preserve"> кв. 333</v>
      </c>
      <c r="D7605" s="5" t="str">
        <f>CONCATENATE(A7605,C7605)</f>
        <v>Ленинградское шоссе, дом 112 к.2 кв. 333</v>
      </c>
      <c r="E7605" s="3">
        <f>HYPERLINK("https://sao.dolgi.msk.ru/account/1404265878/", 1404265878)</f>
        <v>1404265878</v>
      </c>
      <c r="F7605">
        <v>1796.58</v>
      </c>
    </row>
    <row r="7606" spans="1:6" hidden="1" x14ac:dyDescent="0.25">
      <c r="A7606" t="s">
        <v>681</v>
      </c>
      <c r="B7606" t="s">
        <v>335</v>
      </c>
      <c r="E7606" s="3">
        <f>HYPERLINK("https://sao.dolgi.msk.ru/account/1404265456/", 1404265456)</f>
        <v>1404265456</v>
      </c>
      <c r="F7606">
        <v>0</v>
      </c>
    </row>
    <row r="7607" spans="1:6" hidden="1" x14ac:dyDescent="0.25">
      <c r="A7607" t="s">
        <v>681</v>
      </c>
      <c r="B7607" t="s">
        <v>336</v>
      </c>
      <c r="E7607" s="3">
        <f>HYPERLINK("https://sao.dolgi.msk.ru/account/1404266504/", 1404266504)</f>
        <v>1404266504</v>
      </c>
      <c r="F7607">
        <v>-1382</v>
      </c>
    </row>
    <row r="7608" spans="1:6" hidden="1" x14ac:dyDescent="0.25">
      <c r="A7608" t="s">
        <v>681</v>
      </c>
      <c r="B7608" t="s">
        <v>337</v>
      </c>
      <c r="E7608" s="3">
        <f>HYPERLINK("https://sao.dolgi.msk.ru/account/1404266512/", 1404266512)</f>
        <v>1404266512</v>
      </c>
      <c r="F7608">
        <v>-3075.66</v>
      </c>
    </row>
    <row r="7609" spans="1:6" hidden="1" x14ac:dyDescent="0.25">
      <c r="A7609" t="s">
        <v>681</v>
      </c>
      <c r="B7609" t="s">
        <v>338</v>
      </c>
      <c r="E7609" s="3">
        <f>HYPERLINK("https://sao.dolgi.msk.ru/account/1404266838/", 1404266838)</f>
        <v>1404266838</v>
      </c>
      <c r="F7609">
        <v>-1341.38</v>
      </c>
    </row>
    <row r="7610" spans="1:6" hidden="1" x14ac:dyDescent="0.25">
      <c r="A7610" t="s">
        <v>681</v>
      </c>
      <c r="B7610" t="s">
        <v>339</v>
      </c>
      <c r="E7610" s="3">
        <f>HYPERLINK("https://sao.dolgi.msk.ru/account/1404267697/", 1404267697)</f>
        <v>1404267697</v>
      </c>
      <c r="F7610">
        <v>0</v>
      </c>
    </row>
    <row r="7611" spans="1:6" hidden="1" x14ac:dyDescent="0.25">
      <c r="A7611" t="s">
        <v>681</v>
      </c>
      <c r="B7611" t="s">
        <v>340</v>
      </c>
      <c r="E7611" s="3">
        <f>HYPERLINK("https://sao.dolgi.msk.ru/account/1404267267/", 1404267267)</f>
        <v>1404267267</v>
      </c>
      <c r="F7611">
        <v>0</v>
      </c>
    </row>
    <row r="7612" spans="1:6" x14ac:dyDescent="0.25">
      <c r="A7612" t="s">
        <v>681</v>
      </c>
      <c r="B7612" t="s">
        <v>341</v>
      </c>
      <c r="C7612" s="5" t="str">
        <f>" кв. "&amp;B7612</f>
        <v xml:space="preserve"> кв. 340</v>
      </c>
      <c r="D7612" s="5" t="str">
        <f>CONCATENATE(A7612,C7612)</f>
        <v>Ленинградское шоссе, дом 112 к.2 кв. 340</v>
      </c>
      <c r="E7612" s="3">
        <f>HYPERLINK("https://sao.dolgi.msk.ru/account/1404267718/", 1404267718)</f>
        <v>1404267718</v>
      </c>
      <c r="F7612">
        <v>1777.61</v>
      </c>
    </row>
    <row r="7613" spans="1:6" hidden="1" x14ac:dyDescent="0.25">
      <c r="A7613" t="s">
        <v>681</v>
      </c>
      <c r="B7613" t="s">
        <v>342</v>
      </c>
      <c r="E7613" s="3">
        <f>HYPERLINK("https://sao.dolgi.msk.ru/account/1404266846/", 1404266846)</f>
        <v>1404266846</v>
      </c>
      <c r="F7613">
        <v>-2199.3000000000002</v>
      </c>
    </row>
    <row r="7614" spans="1:6" hidden="1" x14ac:dyDescent="0.25">
      <c r="A7614" t="s">
        <v>681</v>
      </c>
      <c r="B7614" t="s">
        <v>343</v>
      </c>
      <c r="E7614" s="3">
        <f>HYPERLINK("https://sao.dolgi.msk.ru/account/1404264576/", 1404264576)</f>
        <v>1404264576</v>
      </c>
      <c r="F7614">
        <v>0</v>
      </c>
    </row>
    <row r="7615" spans="1:6" hidden="1" x14ac:dyDescent="0.25">
      <c r="A7615" t="s">
        <v>681</v>
      </c>
      <c r="B7615" t="s">
        <v>344</v>
      </c>
      <c r="E7615" s="3">
        <f>HYPERLINK("https://sao.dolgi.msk.ru/account/1404267726/", 1404267726)</f>
        <v>1404267726</v>
      </c>
      <c r="F7615">
        <v>-1391.24</v>
      </c>
    </row>
    <row r="7616" spans="1:6" x14ac:dyDescent="0.25">
      <c r="A7616" t="s">
        <v>681</v>
      </c>
      <c r="B7616" t="s">
        <v>345</v>
      </c>
      <c r="C7616" s="5" t="str">
        <f t="shared" ref="C7616:C7617" si="310">" кв. "&amp;B7616</f>
        <v xml:space="preserve"> кв. 344</v>
      </c>
      <c r="D7616" s="5" t="str">
        <f>CONCATENATE(A7616,C7616)</f>
        <v>Ленинградское шоссе, дом 112 к.2 кв. 344</v>
      </c>
      <c r="E7616" s="3">
        <f>HYPERLINK("https://sao.dolgi.msk.ru/account/1404267275/", 1404267275)</f>
        <v>1404267275</v>
      </c>
      <c r="F7616">
        <v>1255.71</v>
      </c>
    </row>
    <row r="7617" spans="1:6" x14ac:dyDescent="0.25">
      <c r="A7617" t="s">
        <v>681</v>
      </c>
      <c r="B7617" t="s">
        <v>346</v>
      </c>
      <c r="C7617" s="5" t="str">
        <f t="shared" si="310"/>
        <v xml:space="preserve"> кв. 345</v>
      </c>
      <c r="D7617" s="5" t="str">
        <f>CONCATENATE(A7617,C7617)</f>
        <v>Ленинградское шоссе, дом 112 к.2 кв. 345</v>
      </c>
      <c r="E7617" s="3">
        <f>HYPERLINK("https://sao.dolgi.msk.ru/account/1404264584/", 1404264584)</f>
        <v>1404264584</v>
      </c>
      <c r="F7617">
        <v>1783.93</v>
      </c>
    </row>
    <row r="7618" spans="1:6" hidden="1" x14ac:dyDescent="0.25">
      <c r="A7618" t="s">
        <v>681</v>
      </c>
      <c r="B7618" t="s">
        <v>347</v>
      </c>
      <c r="E7618" s="3">
        <f>HYPERLINK("https://sao.dolgi.msk.ru/account/1404265616/", 1404265616)</f>
        <v>1404265616</v>
      </c>
      <c r="F7618">
        <v>-2259.83</v>
      </c>
    </row>
    <row r="7619" spans="1:6" hidden="1" x14ac:dyDescent="0.25">
      <c r="A7619" t="s">
        <v>681</v>
      </c>
      <c r="B7619" t="s">
        <v>348</v>
      </c>
      <c r="E7619" s="3">
        <f>HYPERLINK("https://sao.dolgi.msk.ru/account/1404267283/", 1404267283)</f>
        <v>1404267283</v>
      </c>
      <c r="F7619">
        <v>-1391.24</v>
      </c>
    </row>
    <row r="7620" spans="1:6" hidden="1" x14ac:dyDescent="0.25">
      <c r="A7620" t="s">
        <v>681</v>
      </c>
      <c r="B7620" t="s">
        <v>349</v>
      </c>
      <c r="E7620" s="3">
        <f>HYPERLINK("https://sao.dolgi.msk.ru/account/1404266854/", 1404266854)</f>
        <v>1404266854</v>
      </c>
      <c r="F7620">
        <v>0</v>
      </c>
    </row>
    <row r="7621" spans="1:6" hidden="1" x14ac:dyDescent="0.25">
      <c r="A7621" t="s">
        <v>681</v>
      </c>
      <c r="B7621" t="s">
        <v>350</v>
      </c>
      <c r="E7621" s="3">
        <f>HYPERLINK("https://sao.dolgi.msk.ru/account/1404264592/", 1404264592)</f>
        <v>1404264592</v>
      </c>
      <c r="F7621">
        <v>-1885.8</v>
      </c>
    </row>
    <row r="7622" spans="1:6" hidden="1" x14ac:dyDescent="0.25">
      <c r="A7622" t="s">
        <v>681</v>
      </c>
      <c r="B7622" t="s">
        <v>351</v>
      </c>
      <c r="E7622" s="3">
        <f>HYPERLINK("https://sao.dolgi.msk.ru/account/1404266539/", 1404266539)</f>
        <v>1404266539</v>
      </c>
      <c r="F7622">
        <v>-1918.17</v>
      </c>
    </row>
    <row r="7623" spans="1:6" hidden="1" x14ac:dyDescent="0.25">
      <c r="A7623" t="s">
        <v>681</v>
      </c>
      <c r="B7623" t="s">
        <v>352</v>
      </c>
      <c r="E7623" s="3">
        <f>HYPERLINK("https://sao.dolgi.msk.ru/account/1404267291/", 1404267291)</f>
        <v>1404267291</v>
      </c>
      <c r="F7623">
        <v>-1409.74</v>
      </c>
    </row>
    <row r="7624" spans="1:6" hidden="1" x14ac:dyDescent="0.25">
      <c r="A7624" t="s">
        <v>681</v>
      </c>
      <c r="B7624" t="s">
        <v>353</v>
      </c>
      <c r="E7624" s="3">
        <f>HYPERLINK("https://sao.dolgi.msk.ru/account/1404265077/", 1404265077)</f>
        <v>1404265077</v>
      </c>
      <c r="F7624">
        <v>0</v>
      </c>
    </row>
    <row r="7625" spans="1:6" hidden="1" x14ac:dyDescent="0.25">
      <c r="A7625" t="s">
        <v>681</v>
      </c>
      <c r="B7625" t="s">
        <v>354</v>
      </c>
      <c r="E7625" s="3">
        <f>HYPERLINK("https://sao.dolgi.msk.ru/account/1404266547/", 1404266547)</f>
        <v>1404266547</v>
      </c>
      <c r="F7625">
        <v>-2634.57</v>
      </c>
    </row>
    <row r="7626" spans="1:6" hidden="1" x14ac:dyDescent="0.25">
      <c r="A7626" t="s">
        <v>681</v>
      </c>
      <c r="B7626" t="s">
        <v>355</v>
      </c>
      <c r="E7626" s="3">
        <f>HYPERLINK("https://sao.dolgi.msk.ru/account/1404266037/", 1404266037)</f>
        <v>1404266037</v>
      </c>
      <c r="F7626">
        <v>0</v>
      </c>
    </row>
    <row r="7627" spans="1:6" hidden="1" x14ac:dyDescent="0.25">
      <c r="A7627" t="s">
        <v>681</v>
      </c>
      <c r="B7627" t="s">
        <v>356</v>
      </c>
      <c r="E7627" s="3">
        <f>HYPERLINK("https://sao.dolgi.msk.ru/account/1404267734/", 1404267734)</f>
        <v>1404267734</v>
      </c>
      <c r="F7627">
        <v>-1405.11</v>
      </c>
    </row>
    <row r="7628" spans="1:6" hidden="1" x14ac:dyDescent="0.25">
      <c r="A7628" t="s">
        <v>681</v>
      </c>
      <c r="B7628" t="s">
        <v>357</v>
      </c>
      <c r="E7628" s="3">
        <f>HYPERLINK("https://sao.dolgi.msk.ru/account/1404265608/", 1404265608)</f>
        <v>1404265608</v>
      </c>
      <c r="F7628">
        <v>-2643.82</v>
      </c>
    </row>
    <row r="7629" spans="1:6" x14ac:dyDescent="0.25">
      <c r="A7629" t="s">
        <v>681</v>
      </c>
      <c r="B7629" t="s">
        <v>358</v>
      </c>
      <c r="C7629" s="5" t="str">
        <f t="shared" ref="C7629:C7630" si="311">" кв. "&amp;B7629</f>
        <v xml:space="preserve"> кв. 357</v>
      </c>
      <c r="D7629" s="5" t="str">
        <f>CONCATENATE(A7629,C7629)</f>
        <v>Ленинградское шоссе, дом 112 к.2 кв. 357</v>
      </c>
      <c r="E7629" s="3">
        <f>HYPERLINK("https://sao.dolgi.msk.ru/account/1404266555/", 1404266555)</f>
        <v>1404266555</v>
      </c>
      <c r="F7629">
        <v>1510.5</v>
      </c>
    </row>
    <row r="7630" spans="1:6" x14ac:dyDescent="0.25">
      <c r="A7630" t="s">
        <v>681</v>
      </c>
      <c r="B7630" t="s">
        <v>359</v>
      </c>
      <c r="C7630" s="5" t="str">
        <f t="shared" si="311"/>
        <v xml:space="preserve"> кв. 358</v>
      </c>
      <c r="D7630" s="5" t="str">
        <f>CONCATENATE(A7630,C7630)</f>
        <v>Ленинградское шоссе, дом 112 к.2 кв. 358</v>
      </c>
      <c r="E7630" s="3">
        <f>HYPERLINK("https://sao.dolgi.msk.ru/account/1404266045/", 1404266045)</f>
        <v>1404266045</v>
      </c>
      <c r="F7630">
        <v>813.55</v>
      </c>
    </row>
    <row r="7631" spans="1:6" hidden="1" x14ac:dyDescent="0.25">
      <c r="A7631" t="s">
        <v>681</v>
      </c>
      <c r="B7631" t="s">
        <v>360</v>
      </c>
      <c r="E7631" s="3">
        <f>HYPERLINK("https://sao.dolgi.msk.ru/account/1404265624/", 1404265624)</f>
        <v>1404265624</v>
      </c>
      <c r="F7631">
        <v>0</v>
      </c>
    </row>
    <row r="7632" spans="1:6" hidden="1" x14ac:dyDescent="0.25">
      <c r="A7632" t="s">
        <v>681</v>
      </c>
      <c r="B7632" t="s">
        <v>360</v>
      </c>
      <c r="E7632" s="3">
        <f>HYPERLINK("https://sao.dolgi.msk.ru/account/1404266141/", 1404266141)</f>
        <v>1404266141</v>
      </c>
      <c r="F7632">
        <v>0</v>
      </c>
    </row>
    <row r="7633" spans="1:6" hidden="1" x14ac:dyDescent="0.25">
      <c r="A7633" t="s">
        <v>681</v>
      </c>
      <c r="B7633" t="s">
        <v>361</v>
      </c>
      <c r="E7633" s="3">
        <f>HYPERLINK("https://sao.dolgi.msk.ru/account/1404265157/", 1404265157)</f>
        <v>1404265157</v>
      </c>
      <c r="F7633">
        <v>-2292.86</v>
      </c>
    </row>
    <row r="7634" spans="1:6" x14ac:dyDescent="0.25">
      <c r="A7634" t="s">
        <v>681</v>
      </c>
      <c r="B7634" t="s">
        <v>362</v>
      </c>
      <c r="C7634" s="5" t="str">
        <f t="shared" ref="C7634:C7635" si="312">" кв. "&amp;B7634</f>
        <v xml:space="preserve"> кв. 361</v>
      </c>
      <c r="D7634" s="5" t="str">
        <f>CONCATENATE(A7634,C7634)</f>
        <v>Ленинградское шоссе, дом 112 к.2 кв. 361</v>
      </c>
      <c r="E7634" s="3">
        <f>HYPERLINK("https://sao.dolgi.msk.ru/account/1404267347/", 1404267347)</f>
        <v>1404267347</v>
      </c>
      <c r="F7634">
        <v>2717.02</v>
      </c>
    </row>
    <row r="7635" spans="1:6" x14ac:dyDescent="0.25">
      <c r="A7635" t="s">
        <v>681</v>
      </c>
      <c r="B7635" t="s">
        <v>364</v>
      </c>
      <c r="C7635" s="5" t="str">
        <f t="shared" si="312"/>
        <v xml:space="preserve"> кв. 363</v>
      </c>
      <c r="D7635" s="5" t="str">
        <f>CONCATENATE(A7635,C7635)</f>
        <v>Ленинградское шоссе, дом 112 к.2 кв. 363</v>
      </c>
      <c r="E7635" s="3">
        <f>HYPERLINK("https://sao.dolgi.msk.ru/account/1404264664/", 1404264664)</f>
        <v>1404264664</v>
      </c>
      <c r="F7635">
        <v>1274.69</v>
      </c>
    </row>
    <row r="7636" spans="1:6" hidden="1" x14ac:dyDescent="0.25">
      <c r="A7636" t="s">
        <v>681</v>
      </c>
      <c r="B7636" t="s">
        <v>365</v>
      </c>
      <c r="E7636" s="3">
        <f>HYPERLINK("https://sao.dolgi.msk.ru/account/1404267355/", 1404267355)</f>
        <v>1404267355</v>
      </c>
      <c r="F7636">
        <v>0</v>
      </c>
    </row>
    <row r="7637" spans="1:6" hidden="1" x14ac:dyDescent="0.25">
      <c r="A7637" t="s">
        <v>681</v>
      </c>
      <c r="B7637" t="s">
        <v>366</v>
      </c>
      <c r="E7637" s="3">
        <f>HYPERLINK("https://sao.dolgi.msk.ru/account/1404266977/", 1404266977)</f>
        <v>1404266977</v>
      </c>
      <c r="F7637">
        <v>-2643.82</v>
      </c>
    </row>
    <row r="7638" spans="1:6" hidden="1" x14ac:dyDescent="0.25">
      <c r="A7638" t="s">
        <v>681</v>
      </c>
      <c r="B7638" t="s">
        <v>367</v>
      </c>
      <c r="E7638" s="3">
        <f>HYPERLINK("https://sao.dolgi.msk.ru/account/1404264672/", 1404264672)</f>
        <v>1404264672</v>
      </c>
      <c r="F7638">
        <v>-1386.62</v>
      </c>
    </row>
    <row r="7639" spans="1:6" hidden="1" x14ac:dyDescent="0.25">
      <c r="A7639" t="s">
        <v>681</v>
      </c>
      <c r="B7639" t="s">
        <v>368</v>
      </c>
      <c r="E7639" s="3">
        <f>HYPERLINK("https://sao.dolgi.msk.ru/account/1404264699/", 1404264699)</f>
        <v>1404264699</v>
      </c>
      <c r="F7639">
        <v>-1549.21</v>
      </c>
    </row>
    <row r="7640" spans="1:6" hidden="1" x14ac:dyDescent="0.25">
      <c r="A7640" t="s">
        <v>681</v>
      </c>
      <c r="B7640" t="s">
        <v>369</v>
      </c>
      <c r="E7640" s="3">
        <f>HYPERLINK("https://sao.dolgi.msk.ru/account/1404267806/", 1404267806)</f>
        <v>1404267806</v>
      </c>
      <c r="F7640">
        <v>-2639.19</v>
      </c>
    </row>
    <row r="7641" spans="1:6" hidden="1" x14ac:dyDescent="0.25">
      <c r="A7641" t="s">
        <v>681</v>
      </c>
      <c r="B7641" t="s">
        <v>370</v>
      </c>
      <c r="E7641" s="3">
        <f>HYPERLINK("https://sao.dolgi.msk.ru/account/1404266627/", 1404266627)</f>
        <v>1404266627</v>
      </c>
      <c r="F7641">
        <v>-948.51</v>
      </c>
    </row>
    <row r="7642" spans="1:6" hidden="1" x14ac:dyDescent="0.25">
      <c r="A7642" t="s">
        <v>681</v>
      </c>
      <c r="B7642" t="s">
        <v>370</v>
      </c>
      <c r="E7642" s="3">
        <f>HYPERLINK("https://sao.dolgi.msk.ru/account/1404266635/", 1404266635)</f>
        <v>1404266635</v>
      </c>
      <c r="F7642">
        <v>-1711.37</v>
      </c>
    </row>
    <row r="7643" spans="1:6" hidden="1" x14ac:dyDescent="0.25">
      <c r="A7643" t="s">
        <v>681</v>
      </c>
      <c r="B7643" t="s">
        <v>371</v>
      </c>
      <c r="E7643" s="3">
        <f>HYPERLINK("https://sao.dolgi.msk.ru/account/1404266168/", 1404266168)</f>
        <v>1404266168</v>
      </c>
      <c r="F7643">
        <v>-1391.24</v>
      </c>
    </row>
    <row r="7644" spans="1:6" hidden="1" x14ac:dyDescent="0.25">
      <c r="A7644" t="s">
        <v>681</v>
      </c>
      <c r="B7644" t="s">
        <v>372</v>
      </c>
      <c r="E7644" s="3">
        <f>HYPERLINK("https://sao.dolgi.msk.ru/account/1404267363/", 1404267363)</f>
        <v>1404267363</v>
      </c>
      <c r="F7644">
        <v>0</v>
      </c>
    </row>
    <row r="7645" spans="1:6" hidden="1" x14ac:dyDescent="0.25">
      <c r="A7645" t="s">
        <v>681</v>
      </c>
      <c r="B7645" t="s">
        <v>373</v>
      </c>
      <c r="E7645" s="3">
        <f>HYPERLINK("https://sao.dolgi.msk.ru/account/1404265165/", 1404265165)</f>
        <v>1404265165</v>
      </c>
      <c r="F7645">
        <v>-2634.57</v>
      </c>
    </row>
    <row r="7646" spans="1:6" hidden="1" x14ac:dyDescent="0.25">
      <c r="A7646" t="s">
        <v>681</v>
      </c>
      <c r="B7646" t="s">
        <v>374</v>
      </c>
      <c r="E7646" s="3">
        <f>HYPERLINK("https://sao.dolgi.msk.ru/account/1404265173/", 1404265173)</f>
        <v>1404265173</v>
      </c>
      <c r="F7646">
        <v>-2620.7199999999998</v>
      </c>
    </row>
    <row r="7647" spans="1:6" x14ac:dyDescent="0.25">
      <c r="A7647" t="s">
        <v>681</v>
      </c>
      <c r="B7647" t="s">
        <v>375</v>
      </c>
      <c r="C7647" s="5" t="str">
        <f>" кв. "&amp;B7647</f>
        <v xml:space="preserve"> кв. 374</v>
      </c>
      <c r="D7647" s="5" t="str">
        <f>CONCATENATE(A7647,C7647)</f>
        <v>Ленинградское шоссе, дом 112 к.2 кв. 374</v>
      </c>
      <c r="E7647" s="3">
        <f>HYPERLINK("https://sao.dolgi.msk.ru/account/1404264701/", 1404264701)</f>
        <v>1404264701</v>
      </c>
      <c r="F7647">
        <v>952.06</v>
      </c>
    </row>
    <row r="7648" spans="1:6" hidden="1" x14ac:dyDescent="0.25">
      <c r="A7648" t="s">
        <v>681</v>
      </c>
      <c r="B7648" t="s">
        <v>376</v>
      </c>
      <c r="E7648" s="3">
        <f>HYPERLINK("https://sao.dolgi.msk.ru/account/1404265181/", 1404265181)</f>
        <v>1404265181</v>
      </c>
      <c r="F7648">
        <v>-1908.92</v>
      </c>
    </row>
    <row r="7649" spans="1:6" x14ac:dyDescent="0.25">
      <c r="A7649" t="s">
        <v>681</v>
      </c>
      <c r="B7649" t="s">
        <v>377</v>
      </c>
      <c r="C7649" s="5" t="str">
        <f>" кв. "&amp;B7649</f>
        <v xml:space="preserve"> кв. 376</v>
      </c>
      <c r="D7649" s="5" t="str">
        <f>CONCATENATE(A7649,C7649)</f>
        <v>Ленинградское шоссе, дом 112 к.2 кв. 376</v>
      </c>
      <c r="E7649" s="3">
        <f>HYPERLINK("https://sao.dolgi.msk.ru/account/1404265683/", 1404265683)</f>
        <v>1404265683</v>
      </c>
      <c r="F7649">
        <v>1768.12</v>
      </c>
    </row>
    <row r="7650" spans="1:6" hidden="1" x14ac:dyDescent="0.25">
      <c r="A7650" t="s">
        <v>681</v>
      </c>
      <c r="B7650" t="s">
        <v>378</v>
      </c>
      <c r="E7650" s="3">
        <f>HYPERLINK("https://sao.dolgi.msk.ru/account/1404265202/", 1404265202)</f>
        <v>1404265202</v>
      </c>
      <c r="F7650">
        <v>0</v>
      </c>
    </row>
    <row r="7651" spans="1:6" hidden="1" x14ac:dyDescent="0.25">
      <c r="A7651" t="s">
        <v>681</v>
      </c>
      <c r="B7651" t="s">
        <v>379</v>
      </c>
      <c r="E7651" s="3">
        <f>HYPERLINK("https://sao.dolgi.msk.ru/account/1404267371/", 1404267371)</f>
        <v>1404267371</v>
      </c>
      <c r="F7651">
        <v>-1386.62</v>
      </c>
    </row>
    <row r="7652" spans="1:6" hidden="1" x14ac:dyDescent="0.25">
      <c r="A7652" t="s">
        <v>681</v>
      </c>
      <c r="B7652" t="s">
        <v>380</v>
      </c>
      <c r="E7652" s="3">
        <f>HYPERLINK("https://sao.dolgi.msk.ru/account/1404266176/", 1404266176)</f>
        <v>1404266176</v>
      </c>
      <c r="F7652">
        <v>-1090.8</v>
      </c>
    </row>
    <row r="7653" spans="1:6" hidden="1" x14ac:dyDescent="0.25">
      <c r="A7653" t="s">
        <v>681</v>
      </c>
      <c r="B7653" t="s">
        <v>381</v>
      </c>
      <c r="E7653" s="3">
        <f>HYPERLINK("https://sao.dolgi.msk.ru/account/1404265229/", 1404265229)</f>
        <v>1404265229</v>
      </c>
      <c r="F7653">
        <v>-2207.08</v>
      </c>
    </row>
    <row r="7654" spans="1:6" hidden="1" x14ac:dyDescent="0.25">
      <c r="A7654" t="s">
        <v>681</v>
      </c>
      <c r="B7654" t="s">
        <v>382</v>
      </c>
      <c r="E7654" s="3">
        <f>HYPERLINK("https://sao.dolgi.msk.ru/account/1404267814/", 1404267814)</f>
        <v>1404267814</v>
      </c>
      <c r="F7654">
        <v>-830.2</v>
      </c>
    </row>
    <row r="7655" spans="1:6" hidden="1" x14ac:dyDescent="0.25">
      <c r="A7655" t="s">
        <v>681</v>
      </c>
      <c r="B7655" t="s">
        <v>383</v>
      </c>
      <c r="E7655" s="3">
        <f>HYPERLINK("https://sao.dolgi.msk.ru/account/1404264437/", 1404264437)</f>
        <v>1404264437</v>
      </c>
      <c r="F7655">
        <v>-1377.37</v>
      </c>
    </row>
    <row r="7656" spans="1:6" hidden="1" x14ac:dyDescent="0.25">
      <c r="A7656" t="s">
        <v>681</v>
      </c>
      <c r="B7656" t="s">
        <v>384</v>
      </c>
      <c r="E7656" s="3">
        <f>HYPERLINK("https://sao.dolgi.msk.ru/account/1404267128/", 1404267128)</f>
        <v>1404267128</v>
      </c>
      <c r="F7656">
        <v>-1572.57</v>
      </c>
    </row>
    <row r="7657" spans="1:6" hidden="1" x14ac:dyDescent="0.25">
      <c r="A7657" t="s">
        <v>681</v>
      </c>
      <c r="B7657" t="s">
        <v>385</v>
      </c>
      <c r="E7657" s="3">
        <f>HYPERLINK("https://sao.dolgi.msk.ru/account/1404266416/", 1404266416)</f>
        <v>1404266416</v>
      </c>
      <c r="F7657">
        <v>-1692.95</v>
      </c>
    </row>
    <row r="7658" spans="1:6" x14ac:dyDescent="0.25">
      <c r="A7658" t="s">
        <v>681</v>
      </c>
      <c r="B7658" t="s">
        <v>386</v>
      </c>
      <c r="C7658" s="5" t="str">
        <f t="shared" ref="C7658:C7659" si="313">" кв. "&amp;B7658</f>
        <v xml:space="preserve"> кв. 385</v>
      </c>
      <c r="D7658" s="5" t="str">
        <f>CONCATENATE(A7658,C7658)</f>
        <v>Ленинградское шоссе, дом 112 к.2 кв. 385</v>
      </c>
      <c r="E7658" s="3">
        <f>HYPERLINK("https://sao.dolgi.msk.ru/account/1404266766/", 1404266766)</f>
        <v>1404266766</v>
      </c>
      <c r="F7658">
        <v>1796.58</v>
      </c>
    </row>
    <row r="7659" spans="1:6" x14ac:dyDescent="0.25">
      <c r="A7659" t="s">
        <v>681</v>
      </c>
      <c r="B7659" t="s">
        <v>387</v>
      </c>
      <c r="C7659" s="5" t="str">
        <f t="shared" si="313"/>
        <v xml:space="preserve"> кв. 386</v>
      </c>
      <c r="D7659" s="5" t="str">
        <f>CONCATENATE(A7659,C7659)</f>
        <v>Ленинградское шоссе, дом 112 к.2 кв. 386</v>
      </c>
      <c r="E7659" s="3">
        <f>HYPERLINK("https://sao.dolgi.msk.ru/account/1404267603/", 1404267603)</f>
        <v>1404267603</v>
      </c>
      <c r="F7659">
        <v>945.74</v>
      </c>
    </row>
    <row r="7660" spans="1:6" hidden="1" x14ac:dyDescent="0.25">
      <c r="A7660" t="s">
        <v>681</v>
      </c>
      <c r="B7660" t="s">
        <v>388</v>
      </c>
      <c r="E7660" s="3">
        <f>HYPERLINK("https://sao.dolgi.msk.ru/account/1404266424/", 1404266424)</f>
        <v>1404266424</v>
      </c>
      <c r="F7660">
        <v>0</v>
      </c>
    </row>
    <row r="7661" spans="1:6" hidden="1" x14ac:dyDescent="0.25">
      <c r="A7661" t="s">
        <v>681</v>
      </c>
      <c r="B7661" t="s">
        <v>389</v>
      </c>
      <c r="E7661" s="3">
        <f>HYPERLINK("https://sao.dolgi.msk.ru/account/1404264904/", 1404264904)</f>
        <v>1404264904</v>
      </c>
      <c r="F7661">
        <v>0</v>
      </c>
    </row>
    <row r="7662" spans="1:6" hidden="1" x14ac:dyDescent="0.25">
      <c r="A7662" t="s">
        <v>681</v>
      </c>
      <c r="B7662" t="s">
        <v>390</v>
      </c>
      <c r="E7662" s="3">
        <f>HYPERLINK("https://sao.dolgi.msk.ru/account/1404265464/", 1404265464)</f>
        <v>1404265464</v>
      </c>
      <c r="F7662">
        <v>-1844.21</v>
      </c>
    </row>
    <row r="7663" spans="1:6" hidden="1" x14ac:dyDescent="0.25">
      <c r="A7663" t="s">
        <v>681</v>
      </c>
      <c r="B7663" t="s">
        <v>391</v>
      </c>
      <c r="E7663" s="3">
        <f>HYPERLINK("https://sao.dolgi.msk.ru/account/1404264912/", 1404264912)</f>
        <v>1404264912</v>
      </c>
      <c r="F7663">
        <v>-136.41</v>
      </c>
    </row>
    <row r="7664" spans="1:6" hidden="1" x14ac:dyDescent="0.25">
      <c r="A7664" t="s">
        <v>681</v>
      </c>
      <c r="B7664" t="s">
        <v>392</v>
      </c>
      <c r="E7664" s="3">
        <f>HYPERLINK("https://sao.dolgi.msk.ru/account/1404265886/", 1404265886)</f>
        <v>1404265886</v>
      </c>
      <c r="F7664">
        <v>-1853.44</v>
      </c>
    </row>
    <row r="7665" spans="1:6" hidden="1" x14ac:dyDescent="0.25">
      <c r="A7665" t="s">
        <v>681</v>
      </c>
      <c r="B7665" t="s">
        <v>393</v>
      </c>
      <c r="E7665" s="3">
        <f>HYPERLINK("https://sao.dolgi.msk.ru/account/1404266432/", 1404266432)</f>
        <v>1404266432</v>
      </c>
      <c r="F7665">
        <v>-1867.31</v>
      </c>
    </row>
    <row r="7666" spans="1:6" x14ac:dyDescent="0.25">
      <c r="A7666" t="s">
        <v>681</v>
      </c>
      <c r="B7666" t="s">
        <v>394</v>
      </c>
      <c r="C7666" s="5" t="str">
        <f>" кв. "&amp;B7666</f>
        <v xml:space="preserve"> кв. 393</v>
      </c>
      <c r="D7666" s="5" t="str">
        <f>CONCATENATE(A7666,C7666)</f>
        <v>Ленинградское шоссе, дом 112 к.2 кв. 393</v>
      </c>
      <c r="E7666" s="3">
        <f>HYPERLINK("https://sao.dolgi.msk.ru/account/1404266774/", 1404266774)</f>
        <v>1404266774</v>
      </c>
      <c r="F7666">
        <v>1468.1</v>
      </c>
    </row>
    <row r="7667" spans="1:6" hidden="1" x14ac:dyDescent="0.25">
      <c r="A7667" t="s">
        <v>681</v>
      </c>
      <c r="B7667" t="s">
        <v>395</v>
      </c>
      <c r="E7667" s="3">
        <f>HYPERLINK("https://sao.dolgi.msk.ru/account/1404265472/", 1404265472)</f>
        <v>1404265472</v>
      </c>
      <c r="F7667">
        <v>-1027.3800000000001</v>
      </c>
    </row>
    <row r="7668" spans="1:6" hidden="1" x14ac:dyDescent="0.25">
      <c r="A7668" t="s">
        <v>681</v>
      </c>
      <c r="B7668" t="s">
        <v>396</v>
      </c>
      <c r="E7668" s="3">
        <f>HYPERLINK("https://sao.dolgi.msk.ru/account/1404264445/", 1404264445)</f>
        <v>1404264445</v>
      </c>
      <c r="F7668">
        <v>-1688.83</v>
      </c>
    </row>
    <row r="7669" spans="1:6" hidden="1" x14ac:dyDescent="0.25">
      <c r="A7669" t="s">
        <v>681</v>
      </c>
      <c r="B7669" t="s">
        <v>397</v>
      </c>
      <c r="E7669" s="3">
        <f>HYPERLINK("https://sao.dolgi.msk.ru/account/1404264939/", 1404264939)</f>
        <v>1404264939</v>
      </c>
      <c r="F7669">
        <v>-1373.21</v>
      </c>
    </row>
    <row r="7670" spans="1:6" x14ac:dyDescent="0.25">
      <c r="A7670" t="s">
        <v>681</v>
      </c>
      <c r="B7670" t="s">
        <v>398</v>
      </c>
      <c r="C7670" s="5" t="str">
        <f t="shared" ref="C7670:C7671" si="314">" кв. "&amp;B7670</f>
        <v xml:space="preserve"> кв. 397</v>
      </c>
      <c r="D7670" s="5" t="str">
        <f>CONCATENATE(A7670,C7670)</f>
        <v>Ленинградское шоссе, дом 112 к.2 кв. 397</v>
      </c>
      <c r="E7670" s="3">
        <f>HYPERLINK("https://sao.dolgi.msk.ru/account/1404264453/", 1404264453)</f>
        <v>1404264453</v>
      </c>
      <c r="F7670">
        <v>1176.6400000000001</v>
      </c>
    </row>
    <row r="7671" spans="1:6" x14ac:dyDescent="0.25">
      <c r="A7671" t="s">
        <v>681</v>
      </c>
      <c r="B7671" t="s">
        <v>399</v>
      </c>
      <c r="C7671" s="5" t="str">
        <f t="shared" si="314"/>
        <v xml:space="preserve"> кв. 398</v>
      </c>
      <c r="D7671" s="5" t="str">
        <f>CONCATENATE(A7671,C7671)</f>
        <v>Ленинградское шоссе, дом 112 к.2 кв. 398</v>
      </c>
      <c r="E7671" s="3">
        <f>HYPERLINK("https://sao.dolgi.msk.ru/account/1404267136/", 1404267136)</f>
        <v>1404267136</v>
      </c>
      <c r="F7671">
        <v>961.55</v>
      </c>
    </row>
    <row r="7672" spans="1:6" hidden="1" x14ac:dyDescent="0.25">
      <c r="A7672" t="s">
        <v>681</v>
      </c>
      <c r="B7672" t="s">
        <v>400</v>
      </c>
      <c r="E7672" s="3">
        <f>HYPERLINK("https://sao.dolgi.msk.ru/account/1404264461/", 1404264461)</f>
        <v>1404264461</v>
      </c>
      <c r="F7672">
        <v>0</v>
      </c>
    </row>
    <row r="7673" spans="1:6" x14ac:dyDescent="0.25">
      <c r="A7673" t="s">
        <v>681</v>
      </c>
      <c r="B7673" t="s">
        <v>401</v>
      </c>
      <c r="C7673" s="5" t="str">
        <f>" кв. "&amp;B7673</f>
        <v xml:space="preserve"> кв. 400</v>
      </c>
      <c r="D7673" s="5" t="str">
        <f>CONCATENATE(A7673,C7673)</f>
        <v>Ленинградское шоссе, дом 112 к.2 кв. 400</v>
      </c>
      <c r="E7673" s="3">
        <f>HYPERLINK("https://sao.dolgi.msk.ru/account/1404265894/", 1404265894)</f>
        <v>1404265894</v>
      </c>
      <c r="F7673">
        <v>1806.07</v>
      </c>
    </row>
    <row r="7674" spans="1:6" hidden="1" x14ac:dyDescent="0.25">
      <c r="A7674" t="s">
        <v>681</v>
      </c>
      <c r="B7674" t="s">
        <v>402</v>
      </c>
      <c r="E7674" s="3">
        <f>HYPERLINK("https://sao.dolgi.msk.ru/account/1404265907/", 1404265907)</f>
        <v>1404265907</v>
      </c>
      <c r="F7674">
        <v>0</v>
      </c>
    </row>
    <row r="7675" spans="1:6" x14ac:dyDescent="0.25">
      <c r="A7675" t="s">
        <v>681</v>
      </c>
      <c r="B7675" t="s">
        <v>403</v>
      </c>
      <c r="C7675" s="5" t="str">
        <f>" кв. "&amp;B7675</f>
        <v xml:space="preserve"> кв. 402</v>
      </c>
      <c r="D7675" s="5" t="str">
        <f>CONCATENATE(A7675,C7675)</f>
        <v>Ленинградское шоссе, дом 112 к.2 кв. 402</v>
      </c>
      <c r="E7675" s="3">
        <f>HYPERLINK("https://sao.dolgi.msk.ru/account/1404265915/", 1404265915)</f>
        <v>1404265915</v>
      </c>
      <c r="F7675">
        <v>945.74</v>
      </c>
    </row>
    <row r="7676" spans="1:6" hidden="1" x14ac:dyDescent="0.25">
      <c r="A7676" t="s">
        <v>681</v>
      </c>
      <c r="B7676" t="s">
        <v>404</v>
      </c>
      <c r="E7676" s="3">
        <f>HYPERLINK("https://sao.dolgi.msk.ru/account/1404266459/", 1404266459)</f>
        <v>1404266459</v>
      </c>
      <c r="F7676">
        <v>-1908.92</v>
      </c>
    </row>
    <row r="7677" spans="1:6" x14ac:dyDescent="0.25">
      <c r="A7677" t="s">
        <v>681</v>
      </c>
      <c r="B7677" t="s">
        <v>405</v>
      </c>
      <c r="C7677" s="5" t="str">
        <f>" кв. "&amp;B7677</f>
        <v xml:space="preserve"> кв. 404</v>
      </c>
      <c r="D7677" s="5" t="str">
        <f>CONCATENATE(A7677,C7677)</f>
        <v>Ленинградское шоссе, дом 112 к.2 кв. 404</v>
      </c>
      <c r="E7677" s="3">
        <f>HYPERLINK("https://sao.dolgi.msk.ru/account/1404266467/", 1404266467)</f>
        <v>1404266467</v>
      </c>
      <c r="F7677">
        <v>1780.77</v>
      </c>
    </row>
    <row r="7678" spans="1:6" hidden="1" x14ac:dyDescent="0.25">
      <c r="A7678" t="s">
        <v>681</v>
      </c>
      <c r="B7678" t="s">
        <v>406</v>
      </c>
      <c r="E7678" s="3">
        <f>HYPERLINK("https://sao.dolgi.msk.ru/account/1404267654/", 1404267654)</f>
        <v>1404267654</v>
      </c>
      <c r="F7678">
        <v>-2657.69</v>
      </c>
    </row>
    <row r="7679" spans="1:6" x14ac:dyDescent="0.25">
      <c r="A7679" t="s">
        <v>681</v>
      </c>
      <c r="B7679" t="s">
        <v>407</v>
      </c>
      <c r="C7679" s="5" t="str">
        <f>" кв. "&amp;B7679</f>
        <v xml:space="preserve"> кв. 406</v>
      </c>
      <c r="D7679" s="5" t="str">
        <f>CONCATENATE(A7679,C7679)</f>
        <v>Ленинградское шоссе, дом 112 к.2 кв. 406</v>
      </c>
      <c r="E7679" s="3">
        <f>HYPERLINK("https://sao.dolgi.msk.ru/account/1404267208/", 1404267208)</f>
        <v>1404267208</v>
      </c>
      <c r="F7679">
        <v>948.9</v>
      </c>
    </row>
    <row r="7680" spans="1:6" hidden="1" x14ac:dyDescent="0.25">
      <c r="A7680" t="s">
        <v>681</v>
      </c>
      <c r="B7680" t="s">
        <v>408</v>
      </c>
      <c r="E7680" s="3">
        <f>HYPERLINK("https://sao.dolgi.msk.ru/account/1404267662/", 1404267662)</f>
        <v>1404267662</v>
      </c>
      <c r="F7680">
        <v>-1858.07</v>
      </c>
    </row>
    <row r="7681" spans="1:6" hidden="1" x14ac:dyDescent="0.25">
      <c r="A7681" t="s">
        <v>681</v>
      </c>
      <c r="B7681" t="s">
        <v>409</v>
      </c>
      <c r="E7681" s="3">
        <f>HYPERLINK("https://sao.dolgi.msk.ru/account/1404265026/", 1404265026)</f>
        <v>1404265026</v>
      </c>
      <c r="F7681">
        <v>-2639.19</v>
      </c>
    </row>
    <row r="7682" spans="1:6" hidden="1" x14ac:dyDescent="0.25">
      <c r="A7682" t="s">
        <v>681</v>
      </c>
      <c r="B7682" t="s">
        <v>410</v>
      </c>
      <c r="E7682" s="3">
        <f>HYPERLINK("https://sao.dolgi.msk.ru/account/1404264533/", 1404264533)</f>
        <v>1404264533</v>
      </c>
      <c r="F7682">
        <v>-2629.95</v>
      </c>
    </row>
    <row r="7683" spans="1:6" hidden="1" x14ac:dyDescent="0.25">
      <c r="A7683" t="s">
        <v>681</v>
      </c>
      <c r="B7683" t="s">
        <v>411</v>
      </c>
      <c r="E7683" s="3">
        <f>HYPERLINK("https://sao.dolgi.msk.ru/account/1404265034/", 1404265034)</f>
        <v>1404265034</v>
      </c>
      <c r="F7683">
        <v>-1405.11</v>
      </c>
    </row>
    <row r="7684" spans="1:6" x14ac:dyDescent="0.25">
      <c r="A7684" t="s">
        <v>681</v>
      </c>
      <c r="B7684" t="s">
        <v>429</v>
      </c>
      <c r="C7684" s="5" t="str">
        <f>" кв. "&amp;B7684</f>
        <v xml:space="preserve"> кв. 411</v>
      </c>
      <c r="D7684" s="5" t="str">
        <f>CONCATENATE(A7684,C7684)</f>
        <v>Ленинградское шоссе, дом 112 к.2 кв. 411</v>
      </c>
      <c r="E7684" s="3">
        <f>HYPERLINK("https://sao.dolgi.msk.ru/account/1404265042/", 1404265042)</f>
        <v>1404265042</v>
      </c>
      <c r="F7684">
        <v>1290.5</v>
      </c>
    </row>
    <row r="7685" spans="1:6" hidden="1" x14ac:dyDescent="0.25">
      <c r="A7685" t="s">
        <v>681</v>
      </c>
      <c r="B7685" t="s">
        <v>430</v>
      </c>
      <c r="E7685" s="3">
        <f>HYPERLINK("https://sao.dolgi.msk.ru/account/1404267216/", 1404267216)</f>
        <v>1404267216</v>
      </c>
      <c r="F7685">
        <v>-1685.18</v>
      </c>
    </row>
    <row r="7686" spans="1:6" hidden="1" x14ac:dyDescent="0.25">
      <c r="A7686" t="s">
        <v>681</v>
      </c>
      <c r="B7686" t="s">
        <v>431</v>
      </c>
      <c r="E7686" s="3">
        <f>HYPERLINK("https://sao.dolgi.msk.ru/account/1404265552/", 1404265552)</f>
        <v>1404265552</v>
      </c>
      <c r="F7686">
        <v>-836.04</v>
      </c>
    </row>
    <row r="7687" spans="1:6" hidden="1" x14ac:dyDescent="0.25">
      <c r="A7687" t="s">
        <v>681</v>
      </c>
      <c r="B7687" t="s">
        <v>432</v>
      </c>
      <c r="E7687" s="3">
        <f>HYPERLINK("https://sao.dolgi.msk.ru/account/1404265579/", 1404265579)</f>
        <v>1404265579</v>
      </c>
      <c r="F7687">
        <v>-1391.24</v>
      </c>
    </row>
    <row r="7688" spans="1:6" hidden="1" x14ac:dyDescent="0.25">
      <c r="A7688" t="s">
        <v>681</v>
      </c>
      <c r="B7688" t="s">
        <v>433</v>
      </c>
      <c r="E7688" s="3">
        <f>HYPERLINK("https://sao.dolgi.msk.ru/account/1404265982/", 1404265982)</f>
        <v>1404265982</v>
      </c>
      <c r="F7688">
        <v>-1853.44</v>
      </c>
    </row>
    <row r="7689" spans="1:6" hidden="1" x14ac:dyDescent="0.25">
      <c r="A7689" t="s">
        <v>681</v>
      </c>
      <c r="B7689" t="s">
        <v>434</v>
      </c>
      <c r="E7689" s="3">
        <f>HYPERLINK("https://sao.dolgi.msk.ru/account/1404264541/", 1404264541)</f>
        <v>1404264541</v>
      </c>
      <c r="F7689">
        <v>-2629.95</v>
      </c>
    </row>
    <row r="7690" spans="1:6" x14ac:dyDescent="0.25">
      <c r="A7690" t="s">
        <v>681</v>
      </c>
      <c r="B7690" t="s">
        <v>435</v>
      </c>
      <c r="C7690" s="5" t="str">
        <f>" кв. "&amp;B7690</f>
        <v xml:space="preserve"> кв. 417</v>
      </c>
      <c r="D7690" s="5" t="str">
        <f>CONCATENATE(A7690,C7690)</f>
        <v>Ленинградское шоссе, дом 112 к.2 кв. 417</v>
      </c>
      <c r="E7690" s="3">
        <f>HYPERLINK("https://sao.dolgi.msk.ru/account/1404266803/", 1404266803)</f>
        <v>1404266803</v>
      </c>
      <c r="F7690">
        <v>1831.38</v>
      </c>
    </row>
    <row r="7691" spans="1:6" hidden="1" x14ac:dyDescent="0.25">
      <c r="A7691" t="s">
        <v>681</v>
      </c>
      <c r="B7691" t="s">
        <v>436</v>
      </c>
      <c r="E7691" s="3">
        <f>HYPERLINK("https://sao.dolgi.msk.ru/account/1404265587/", 1404265587)</f>
        <v>1404265587</v>
      </c>
      <c r="F7691">
        <v>-695.63</v>
      </c>
    </row>
    <row r="7692" spans="1:6" hidden="1" x14ac:dyDescent="0.25">
      <c r="A7692" t="s">
        <v>681</v>
      </c>
      <c r="B7692" t="s">
        <v>437</v>
      </c>
      <c r="E7692" s="3">
        <f>HYPERLINK("https://sao.dolgi.msk.ru/account/1404265595/", 1404265595)</f>
        <v>1404265595</v>
      </c>
      <c r="F7692">
        <v>-1881.18</v>
      </c>
    </row>
    <row r="7693" spans="1:6" hidden="1" x14ac:dyDescent="0.25">
      <c r="A7693" t="s">
        <v>681</v>
      </c>
      <c r="B7693" t="s">
        <v>438</v>
      </c>
      <c r="E7693" s="3">
        <f>HYPERLINK("https://sao.dolgi.msk.ru/account/1404266344/", 1404266344)</f>
        <v>1404266344</v>
      </c>
      <c r="F7693">
        <v>-1317.27</v>
      </c>
    </row>
    <row r="7694" spans="1:6" x14ac:dyDescent="0.25">
      <c r="A7694" t="s">
        <v>681</v>
      </c>
      <c r="B7694" t="s">
        <v>439</v>
      </c>
      <c r="C7694" s="5" t="str">
        <f>" кв. "&amp;B7694</f>
        <v xml:space="preserve"> кв. 421</v>
      </c>
      <c r="D7694" s="5" t="str">
        <f>CONCATENATE(A7694,C7694)</f>
        <v>Ленинградское шоссе, дом 112 к.2 кв. 421</v>
      </c>
      <c r="E7694" s="3">
        <f>HYPERLINK("https://sao.dolgi.msk.ru/account/1404267873/", 1404267873)</f>
        <v>1404267873</v>
      </c>
      <c r="F7694">
        <v>1825.05</v>
      </c>
    </row>
    <row r="7695" spans="1:6" hidden="1" x14ac:dyDescent="0.25">
      <c r="A7695" t="s">
        <v>681</v>
      </c>
      <c r="B7695" t="s">
        <v>440</v>
      </c>
      <c r="E7695" s="3">
        <f>HYPERLINK("https://sao.dolgi.msk.ru/account/1404266352/", 1404266352)</f>
        <v>1404266352</v>
      </c>
      <c r="F7695">
        <v>-1382</v>
      </c>
    </row>
    <row r="7696" spans="1:6" hidden="1" x14ac:dyDescent="0.25">
      <c r="A7696" t="s">
        <v>681</v>
      </c>
      <c r="B7696" t="s">
        <v>441</v>
      </c>
      <c r="E7696" s="3">
        <f>HYPERLINK("https://sao.dolgi.msk.ru/account/1404265827/", 1404265827)</f>
        <v>1404265827</v>
      </c>
      <c r="F7696">
        <v>0</v>
      </c>
    </row>
    <row r="7697" spans="1:6" hidden="1" x14ac:dyDescent="0.25">
      <c r="A7697" t="s">
        <v>681</v>
      </c>
      <c r="B7697" t="s">
        <v>442</v>
      </c>
      <c r="E7697" s="3">
        <f>HYPERLINK("https://sao.dolgi.msk.ru/account/1404265392/", 1404265392)</f>
        <v>1404265392</v>
      </c>
      <c r="F7697">
        <v>-2662.31</v>
      </c>
    </row>
    <row r="7698" spans="1:6" hidden="1" x14ac:dyDescent="0.25">
      <c r="A7698" t="s">
        <v>681</v>
      </c>
      <c r="B7698" t="s">
        <v>443</v>
      </c>
      <c r="E7698" s="3">
        <f>HYPERLINK("https://sao.dolgi.msk.ru/account/1404267558/", 1404267558)</f>
        <v>1404267558</v>
      </c>
      <c r="F7698">
        <v>-2458.5500000000002</v>
      </c>
    </row>
    <row r="7699" spans="1:6" hidden="1" x14ac:dyDescent="0.25">
      <c r="A7699" t="s">
        <v>681</v>
      </c>
      <c r="B7699" t="s">
        <v>444</v>
      </c>
      <c r="E7699" s="3">
        <f>HYPERLINK("https://sao.dolgi.msk.ru/account/1404264867/", 1404264867)</f>
        <v>1404264867</v>
      </c>
      <c r="F7699">
        <v>-697.94</v>
      </c>
    </row>
    <row r="7700" spans="1:6" hidden="1" x14ac:dyDescent="0.25">
      <c r="A7700" t="s">
        <v>681</v>
      </c>
      <c r="B7700" t="s">
        <v>445</v>
      </c>
      <c r="E7700" s="3">
        <f>HYPERLINK("https://sao.dolgi.msk.ru/account/1404266379/", 1404266379)</f>
        <v>1404266379</v>
      </c>
      <c r="F7700">
        <v>0</v>
      </c>
    </row>
    <row r="7701" spans="1:6" hidden="1" x14ac:dyDescent="0.25">
      <c r="A7701" t="s">
        <v>681</v>
      </c>
      <c r="B7701" t="s">
        <v>446</v>
      </c>
      <c r="E7701" s="3">
        <f>HYPERLINK("https://sao.dolgi.msk.ru/account/1404267101/", 1404267101)</f>
        <v>1404267101</v>
      </c>
      <c r="F7701">
        <v>0</v>
      </c>
    </row>
    <row r="7702" spans="1:6" x14ac:dyDescent="0.25">
      <c r="A7702" t="s">
        <v>681</v>
      </c>
      <c r="B7702" t="s">
        <v>447</v>
      </c>
      <c r="C7702" s="5" t="str">
        <f>" кв. "&amp;B7702</f>
        <v xml:space="preserve"> кв. 429</v>
      </c>
      <c r="D7702" s="5" t="str">
        <f>CONCATENATE(A7702,C7702)</f>
        <v>Ленинградское шоссе, дом 112 к.2 кв. 429</v>
      </c>
      <c r="E7702" s="3">
        <f>HYPERLINK("https://sao.dolgi.msk.ru/account/1404267566/", 1404267566)</f>
        <v>1404267566</v>
      </c>
      <c r="F7702">
        <v>757.9</v>
      </c>
    </row>
    <row r="7703" spans="1:6" hidden="1" x14ac:dyDescent="0.25">
      <c r="A7703" t="s">
        <v>681</v>
      </c>
      <c r="B7703" t="s">
        <v>448</v>
      </c>
      <c r="E7703" s="3">
        <f>HYPERLINK("https://sao.dolgi.msk.ru/account/1404265405/", 1404265405)</f>
        <v>1404265405</v>
      </c>
      <c r="F7703">
        <v>-1672.39</v>
      </c>
    </row>
    <row r="7704" spans="1:6" hidden="1" x14ac:dyDescent="0.25">
      <c r="A7704" t="s">
        <v>681</v>
      </c>
      <c r="B7704" t="s">
        <v>449</v>
      </c>
      <c r="E7704" s="3">
        <f>HYPERLINK("https://sao.dolgi.msk.ru/account/1404265835/", 1404265835)</f>
        <v>1404265835</v>
      </c>
      <c r="F7704">
        <v>-618.41999999999996</v>
      </c>
    </row>
    <row r="7705" spans="1:6" hidden="1" x14ac:dyDescent="0.25">
      <c r="A7705" t="s">
        <v>681</v>
      </c>
      <c r="B7705" t="s">
        <v>450</v>
      </c>
      <c r="E7705" s="3">
        <f>HYPERLINK("https://sao.dolgi.msk.ru/account/1404265843/", 1404265843)</f>
        <v>1404265843</v>
      </c>
      <c r="F7705">
        <v>0</v>
      </c>
    </row>
    <row r="7706" spans="1:6" x14ac:dyDescent="0.25">
      <c r="A7706" t="s">
        <v>681</v>
      </c>
      <c r="B7706" t="s">
        <v>451</v>
      </c>
      <c r="C7706" s="5" t="str">
        <f>" кв. "&amp;B7706</f>
        <v xml:space="preserve"> кв. 433</v>
      </c>
      <c r="D7706" s="5" t="str">
        <f>CONCATENATE(A7706,C7706)</f>
        <v>Ленинградское шоссе, дом 112 к.2 кв. 433</v>
      </c>
      <c r="E7706" s="3">
        <f>HYPERLINK("https://sao.dolgi.msk.ru/account/1404264875/", 1404264875)</f>
        <v>1404264875</v>
      </c>
      <c r="F7706">
        <v>1777.61</v>
      </c>
    </row>
    <row r="7707" spans="1:6" hidden="1" x14ac:dyDescent="0.25">
      <c r="A7707" t="s">
        <v>681</v>
      </c>
      <c r="B7707" t="s">
        <v>452</v>
      </c>
      <c r="E7707" s="3">
        <f>HYPERLINK("https://sao.dolgi.msk.ru/account/1404267881/", 1404267881)</f>
        <v>1404267881</v>
      </c>
      <c r="F7707">
        <v>-1844.2</v>
      </c>
    </row>
    <row r="7708" spans="1:6" hidden="1" x14ac:dyDescent="0.25">
      <c r="A7708" t="s">
        <v>681</v>
      </c>
      <c r="B7708" t="s">
        <v>453</v>
      </c>
      <c r="E7708" s="3">
        <f>HYPERLINK("https://sao.dolgi.msk.ru/account/1404264883/", 1404264883)</f>
        <v>1404264883</v>
      </c>
      <c r="F7708">
        <v>0</v>
      </c>
    </row>
    <row r="7709" spans="1:6" hidden="1" x14ac:dyDescent="0.25">
      <c r="A7709" t="s">
        <v>681</v>
      </c>
      <c r="B7709" t="s">
        <v>454</v>
      </c>
      <c r="E7709" s="3">
        <f>HYPERLINK("https://sao.dolgi.msk.ru/account/1404267902/", 1404267902)</f>
        <v>1404267902</v>
      </c>
      <c r="F7709">
        <v>-2653.06</v>
      </c>
    </row>
    <row r="7710" spans="1:6" hidden="1" x14ac:dyDescent="0.25">
      <c r="A7710" t="s">
        <v>681</v>
      </c>
      <c r="B7710" t="s">
        <v>455</v>
      </c>
      <c r="E7710" s="3">
        <f>HYPERLINK("https://sao.dolgi.msk.ru/account/1404267574/", 1404267574)</f>
        <v>1404267574</v>
      </c>
      <c r="F7710">
        <v>-2096.58</v>
      </c>
    </row>
    <row r="7711" spans="1:6" hidden="1" x14ac:dyDescent="0.25">
      <c r="A7711" t="s">
        <v>681</v>
      </c>
      <c r="B7711" t="s">
        <v>456</v>
      </c>
      <c r="E7711" s="3">
        <f>HYPERLINK("https://sao.dolgi.msk.ru/account/1404266715/", 1404266715)</f>
        <v>1404266715</v>
      </c>
      <c r="F7711">
        <v>-1867.31</v>
      </c>
    </row>
    <row r="7712" spans="1:6" hidden="1" x14ac:dyDescent="0.25">
      <c r="A7712" t="s">
        <v>681</v>
      </c>
      <c r="B7712" t="s">
        <v>457</v>
      </c>
      <c r="E7712" s="3">
        <f>HYPERLINK("https://sao.dolgi.msk.ru/account/1404264891/", 1404264891)</f>
        <v>1404264891</v>
      </c>
      <c r="F7712">
        <v>0</v>
      </c>
    </row>
    <row r="7713" spans="1:6" hidden="1" x14ac:dyDescent="0.25">
      <c r="A7713" t="s">
        <v>681</v>
      </c>
      <c r="B7713" t="s">
        <v>458</v>
      </c>
      <c r="E7713" s="3">
        <f>HYPERLINK("https://sao.dolgi.msk.ru/account/1404266723/", 1404266723)</f>
        <v>1404266723</v>
      </c>
      <c r="F7713">
        <v>-1570.07</v>
      </c>
    </row>
    <row r="7714" spans="1:6" hidden="1" x14ac:dyDescent="0.25">
      <c r="A7714" t="s">
        <v>681</v>
      </c>
      <c r="B7714" t="s">
        <v>459</v>
      </c>
      <c r="E7714" s="3">
        <f>HYPERLINK("https://sao.dolgi.msk.ru/account/1404266731/", 1404266731)</f>
        <v>1404266731</v>
      </c>
      <c r="F7714">
        <v>-1026.8800000000001</v>
      </c>
    </row>
    <row r="7715" spans="1:6" hidden="1" x14ac:dyDescent="0.25">
      <c r="A7715" t="s">
        <v>681</v>
      </c>
      <c r="B7715" t="s">
        <v>459</v>
      </c>
      <c r="E7715" s="3">
        <f>HYPERLINK("https://sao.dolgi.msk.ru/account/1404267929/", 1404267929)</f>
        <v>1404267929</v>
      </c>
      <c r="F7715">
        <v>-845.05</v>
      </c>
    </row>
    <row r="7716" spans="1:6" x14ac:dyDescent="0.25">
      <c r="A7716" t="s">
        <v>681</v>
      </c>
      <c r="B7716" t="s">
        <v>460</v>
      </c>
      <c r="C7716" s="5" t="str">
        <f>" кв. "&amp;B7716</f>
        <v xml:space="preserve"> кв. 442</v>
      </c>
      <c r="D7716" s="5" t="str">
        <f>CONCATENATE(A7716,C7716)</f>
        <v>Ленинградское шоссе, дом 112 к.2 кв. 442</v>
      </c>
      <c r="E7716" s="3">
        <f>HYPERLINK("https://sao.dolgi.msk.ru/account/1404265851/", 1404265851)</f>
        <v>1404265851</v>
      </c>
      <c r="F7716">
        <v>1284.18</v>
      </c>
    </row>
    <row r="7717" spans="1:6" hidden="1" x14ac:dyDescent="0.25">
      <c r="A7717" t="s">
        <v>681</v>
      </c>
      <c r="B7717" t="s">
        <v>461</v>
      </c>
      <c r="E7717" s="3">
        <f>HYPERLINK("https://sao.dolgi.msk.ru/account/1404267195/", 1404267195)</f>
        <v>1404267195</v>
      </c>
      <c r="F7717">
        <v>-218.86</v>
      </c>
    </row>
    <row r="7718" spans="1:6" hidden="1" x14ac:dyDescent="0.25">
      <c r="A7718" t="s">
        <v>681</v>
      </c>
      <c r="B7718" t="s">
        <v>462</v>
      </c>
      <c r="E7718" s="3">
        <f>HYPERLINK("https://sao.dolgi.msk.ru/account/1404267646/", 1404267646)</f>
        <v>1404267646</v>
      </c>
      <c r="F7718">
        <v>-2643.82</v>
      </c>
    </row>
    <row r="7719" spans="1:6" x14ac:dyDescent="0.25">
      <c r="A7719" t="s">
        <v>681</v>
      </c>
      <c r="B7719" t="s">
        <v>463</v>
      </c>
      <c r="C7719" s="5" t="str">
        <f t="shared" ref="C7719:C7721" si="315">" кв. "&amp;B7719</f>
        <v xml:space="preserve"> кв. 445</v>
      </c>
      <c r="D7719" s="5" t="str">
        <f>CONCATENATE(A7719,C7719)</f>
        <v>Ленинградское шоссе, дом 112 к.2 кв. 445</v>
      </c>
      <c r="E7719" s="3">
        <f>HYPERLINK("https://sao.dolgi.msk.ru/account/1404265333/", 1404265333)</f>
        <v>1404265333</v>
      </c>
      <c r="F7719">
        <v>1444.86</v>
      </c>
    </row>
    <row r="7720" spans="1:6" x14ac:dyDescent="0.25">
      <c r="A7720" t="s">
        <v>681</v>
      </c>
      <c r="B7720" t="s">
        <v>463</v>
      </c>
      <c r="C7720" s="5" t="str">
        <f t="shared" si="315"/>
        <v xml:space="preserve"> кв. 445</v>
      </c>
      <c r="D7720" s="5" t="str">
        <f>CONCATENATE(A7720,C7720)</f>
        <v>Ленинградское шоссе, дом 112 к.2 кв. 445</v>
      </c>
      <c r="E7720" s="3">
        <f>HYPERLINK("https://sao.dolgi.msk.ru/account/1404265544/", 1404265544)</f>
        <v>1404265544</v>
      </c>
      <c r="F7720">
        <v>361.21</v>
      </c>
    </row>
    <row r="7721" spans="1:6" x14ac:dyDescent="0.25">
      <c r="A7721" t="s">
        <v>681</v>
      </c>
      <c r="B7721" t="s">
        <v>464</v>
      </c>
      <c r="C7721" s="5" t="str">
        <f t="shared" si="315"/>
        <v xml:space="preserve"> кв. 446</v>
      </c>
      <c r="D7721" s="5" t="str">
        <f>CONCATENATE(A7721,C7721)</f>
        <v>Ленинградское шоссе, дом 112 к.2 кв. 446</v>
      </c>
      <c r="E7721" s="3">
        <f>HYPERLINK("https://sao.dolgi.msk.ru/account/1404266475/", 1404266475)</f>
        <v>1404266475</v>
      </c>
      <c r="F7721">
        <v>1299.99</v>
      </c>
    </row>
    <row r="7722" spans="1:6" hidden="1" x14ac:dyDescent="0.25">
      <c r="A7722" t="s">
        <v>681</v>
      </c>
      <c r="B7722" t="s">
        <v>465</v>
      </c>
      <c r="E7722" s="3">
        <f>HYPERLINK("https://sao.dolgi.msk.ru/account/1404264496/", 1404264496)</f>
        <v>1404264496</v>
      </c>
      <c r="F7722">
        <v>-1386.62</v>
      </c>
    </row>
    <row r="7723" spans="1:6" x14ac:dyDescent="0.25">
      <c r="A7723" t="s">
        <v>681</v>
      </c>
      <c r="B7723" t="s">
        <v>466</v>
      </c>
      <c r="C7723" s="5" t="str">
        <f>" кв. "&amp;B7723</f>
        <v xml:space="preserve"> кв. 448</v>
      </c>
      <c r="D7723" s="5" t="str">
        <f>CONCATENATE(A7723,C7723)</f>
        <v>Ленинградское шоссе, дом 112 к.2 кв. 448</v>
      </c>
      <c r="E7723" s="3">
        <f>HYPERLINK("https://sao.dolgi.msk.ru/account/1404264963/", 1404264963)</f>
        <v>1404264963</v>
      </c>
      <c r="F7723">
        <v>1825.05</v>
      </c>
    </row>
    <row r="7724" spans="1:6" hidden="1" x14ac:dyDescent="0.25">
      <c r="A7724" t="s">
        <v>681</v>
      </c>
      <c r="B7724" t="s">
        <v>467</v>
      </c>
      <c r="E7724" s="3">
        <f>HYPERLINK("https://sao.dolgi.msk.ru/account/1404267179/", 1404267179)</f>
        <v>1404267179</v>
      </c>
      <c r="F7724">
        <v>-2634.57</v>
      </c>
    </row>
    <row r="7725" spans="1:6" hidden="1" x14ac:dyDescent="0.25">
      <c r="A7725" t="s">
        <v>681</v>
      </c>
      <c r="B7725" t="s">
        <v>468</v>
      </c>
      <c r="E7725" s="3">
        <f>HYPERLINK("https://sao.dolgi.msk.ru/account/1404265958/", 1404265958)</f>
        <v>1404265958</v>
      </c>
      <c r="F7725">
        <v>-790.19</v>
      </c>
    </row>
    <row r="7726" spans="1:6" hidden="1" x14ac:dyDescent="0.25">
      <c r="A7726" t="s">
        <v>681</v>
      </c>
      <c r="B7726" t="s">
        <v>468</v>
      </c>
      <c r="E7726" s="3">
        <f>HYPERLINK("https://sao.dolgi.msk.ru/account/1404267793/", 1404267793)</f>
        <v>1404267793</v>
      </c>
      <c r="F7726">
        <v>-938.29</v>
      </c>
    </row>
    <row r="7727" spans="1:6" hidden="1" x14ac:dyDescent="0.25">
      <c r="A7727" t="s">
        <v>681</v>
      </c>
      <c r="B7727" t="s">
        <v>469</v>
      </c>
      <c r="E7727" s="3">
        <f>HYPERLINK("https://sao.dolgi.msk.ru/account/1404264509/", 1404264509)</f>
        <v>1404264509</v>
      </c>
      <c r="F7727">
        <v>-1405.11</v>
      </c>
    </row>
    <row r="7728" spans="1:6" hidden="1" x14ac:dyDescent="0.25">
      <c r="A7728" t="s">
        <v>681</v>
      </c>
      <c r="B7728" t="s">
        <v>470</v>
      </c>
      <c r="E7728" s="3">
        <f>HYPERLINK("https://sao.dolgi.msk.ru/account/1404266483/", 1404266483)</f>
        <v>1404266483</v>
      </c>
      <c r="F7728">
        <v>0</v>
      </c>
    </row>
    <row r="7729" spans="1:6" hidden="1" x14ac:dyDescent="0.25">
      <c r="A7729" t="s">
        <v>681</v>
      </c>
      <c r="B7729" t="s">
        <v>471</v>
      </c>
      <c r="E7729" s="3">
        <f>HYPERLINK("https://sao.dolgi.msk.ru/account/1404265501/", 1404265501)</f>
        <v>1404265501</v>
      </c>
      <c r="F7729">
        <v>-2653.06</v>
      </c>
    </row>
    <row r="7730" spans="1:6" x14ac:dyDescent="0.25">
      <c r="A7730" t="s">
        <v>681</v>
      </c>
      <c r="B7730" t="s">
        <v>472</v>
      </c>
      <c r="C7730" s="5" t="str">
        <f>" кв. "&amp;B7730</f>
        <v xml:space="preserve"> кв. 454</v>
      </c>
      <c r="D7730" s="5" t="str">
        <f>CONCATENATE(A7730,C7730)</f>
        <v>Ленинградское шоссе, дом 112 к.2 кв. 454</v>
      </c>
      <c r="E7730" s="3">
        <f>HYPERLINK("https://sao.dolgi.msk.ru/account/1404265528/", 1404265528)</f>
        <v>1404265528</v>
      </c>
      <c r="F7730">
        <v>1299.99</v>
      </c>
    </row>
    <row r="7731" spans="1:6" hidden="1" x14ac:dyDescent="0.25">
      <c r="A7731" t="s">
        <v>681</v>
      </c>
      <c r="B7731" t="s">
        <v>473</v>
      </c>
      <c r="E7731" s="3">
        <f>HYPERLINK("https://sao.dolgi.msk.ru/account/1404264517/", 1404264517)</f>
        <v>1404264517</v>
      </c>
      <c r="F7731">
        <v>0</v>
      </c>
    </row>
    <row r="7732" spans="1:6" x14ac:dyDescent="0.25">
      <c r="A7732" t="s">
        <v>681</v>
      </c>
      <c r="B7732" t="s">
        <v>474</v>
      </c>
      <c r="C7732" s="5" t="str">
        <f t="shared" ref="C7732:C7736" si="316">" кв. "&amp;B7732</f>
        <v xml:space="preserve"> кв. 456</v>
      </c>
      <c r="D7732" s="5" t="str">
        <f>CONCATENATE(A7732,C7732)</f>
        <v>Ленинградское шоссе, дом 112 к.2 кв. 456</v>
      </c>
      <c r="E7732" s="3">
        <f>HYPERLINK("https://sao.dolgi.msk.ru/account/1404264971/", 1404264971)</f>
        <v>1404264971</v>
      </c>
      <c r="F7732">
        <v>1796.58</v>
      </c>
    </row>
    <row r="7733" spans="1:6" x14ac:dyDescent="0.25">
      <c r="A7733" t="s">
        <v>681</v>
      </c>
      <c r="B7733" t="s">
        <v>475</v>
      </c>
      <c r="C7733" s="5" t="str">
        <f t="shared" si="316"/>
        <v xml:space="preserve"> кв. 457</v>
      </c>
      <c r="D7733" s="5" t="str">
        <f>CONCATENATE(A7733,C7733)</f>
        <v>Ленинградское шоссе, дом 112 к.2 кв. 457</v>
      </c>
      <c r="E7733" s="3">
        <f>HYPERLINK("https://sao.dolgi.msk.ru/account/1404265536/", 1404265536)</f>
        <v>1404265536</v>
      </c>
      <c r="F7733">
        <v>429.23</v>
      </c>
    </row>
    <row r="7734" spans="1:6" x14ac:dyDescent="0.25">
      <c r="A7734" t="s">
        <v>681</v>
      </c>
      <c r="B7734" t="s">
        <v>475</v>
      </c>
      <c r="C7734" s="5" t="str">
        <f t="shared" si="316"/>
        <v xml:space="preserve"> кв. 457</v>
      </c>
      <c r="D7734" s="5" t="str">
        <f>CONCATENATE(A7734,C7734)</f>
        <v>Ленинградское шоссе, дом 112 к.2 кв. 457</v>
      </c>
      <c r="E7734" s="3">
        <f>HYPERLINK("https://sao.dolgi.msk.ru/account/1404265966/", 1404265966)</f>
        <v>1404265966</v>
      </c>
      <c r="F7734">
        <v>1364.19</v>
      </c>
    </row>
    <row r="7735" spans="1:6" x14ac:dyDescent="0.25">
      <c r="A7735" t="s">
        <v>681</v>
      </c>
      <c r="B7735" t="s">
        <v>476</v>
      </c>
      <c r="C7735" s="5" t="str">
        <f t="shared" si="316"/>
        <v xml:space="preserve"> кв. 458</v>
      </c>
      <c r="D7735" s="5" t="str">
        <f>CONCATENATE(A7735,C7735)</f>
        <v>Ленинградское шоссе, дом 112 к.2 кв. 458</v>
      </c>
      <c r="E7735" s="3">
        <f>HYPERLINK("https://sao.dolgi.msk.ru/account/1404264525/", 1404264525)</f>
        <v>1404264525</v>
      </c>
      <c r="F7735">
        <v>332.49</v>
      </c>
    </row>
    <row r="7736" spans="1:6" x14ac:dyDescent="0.25">
      <c r="A7736" t="s">
        <v>681</v>
      </c>
      <c r="B7736" t="s">
        <v>477</v>
      </c>
      <c r="C7736" s="5" t="str">
        <f t="shared" si="316"/>
        <v xml:space="preserve"> кв. 459</v>
      </c>
      <c r="D7736" s="5" t="str">
        <f>CONCATENATE(A7736,C7736)</f>
        <v>Ленинградское шоссе, дом 112 к.2 кв. 459</v>
      </c>
      <c r="E7736" s="3">
        <f>HYPERLINK("https://sao.dolgi.msk.ru/account/1404264998/", 1404264998)</f>
        <v>1404264998</v>
      </c>
      <c r="F7736">
        <v>955.23</v>
      </c>
    </row>
    <row r="7737" spans="1:6" hidden="1" x14ac:dyDescent="0.25">
      <c r="A7737" t="s">
        <v>681</v>
      </c>
      <c r="B7737" t="s">
        <v>478</v>
      </c>
      <c r="E7737" s="3">
        <f>HYPERLINK("https://sao.dolgi.msk.ru/account/1404266782/", 1404266782)</f>
        <v>1404266782</v>
      </c>
      <c r="F7737">
        <v>-1685.18</v>
      </c>
    </row>
    <row r="7738" spans="1:6" hidden="1" x14ac:dyDescent="0.25">
      <c r="A7738" t="s">
        <v>681</v>
      </c>
      <c r="B7738" t="s">
        <v>479</v>
      </c>
      <c r="E7738" s="3">
        <f>HYPERLINK("https://sao.dolgi.msk.ru/account/1404265974/", 1404265974)</f>
        <v>1404265974</v>
      </c>
      <c r="F7738">
        <v>-1858.08</v>
      </c>
    </row>
    <row r="7739" spans="1:6" hidden="1" x14ac:dyDescent="0.25">
      <c r="A7739" t="s">
        <v>681</v>
      </c>
      <c r="B7739" t="s">
        <v>480</v>
      </c>
      <c r="E7739" s="3">
        <f>HYPERLINK("https://sao.dolgi.msk.ru/account/1404267187/", 1404267187)</f>
        <v>1404267187</v>
      </c>
      <c r="F7739">
        <v>-1054.58</v>
      </c>
    </row>
    <row r="7740" spans="1:6" x14ac:dyDescent="0.25">
      <c r="A7740" t="s">
        <v>681</v>
      </c>
      <c r="B7740" t="s">
        <v>481</v>
      </c>
      <c r="C7740" s="5" t="str">
        <f>" кв. "&amp;B7740</f>
        <v xml:space="preserve"> кв. 463</v>
      </c>
      <c r="D7740" s="5" t="str">
        <f>CONCATENATE(A7740,C7740)</f>
        <v>Ленинградское шоссе, дом 112 к.2 кв. 463</v>
      </c>
      <c r="E7740" s="3">
        <f>HYPERLINK("https://sao.dolgi.msk.ru/account/1404265018/", 1404265018)</f>
        <v>1404265018</v>
      </c>
      <c r="F7740">
        <v>961.55</v>
      </c>
    </row>
    <row r="7741" spans="1:6" hidden="1" x14ac:dyDescent="0.25">
      <c r="A7741" t="s">
        <v>681</v>
      </c>
      <c r="B7741" t="s">
        <v>482</v>
      </c>
      <c r="E7741" s="3">
        <f>HYPERLINK("https://sao.dolgi.msk.ru/account/1404264488/", 1404264488)</f>
        <v>1404264488</v>
      </c>
      <c r="F7741">
        <v>-446.32</v>
      </c>
    </row>
    <row r="7742" spans="1:6" hidden="1" x14ac:dyDescent="0.25">
      <c r="A7742" t="s">
        <v>681</v>
      </c>
      <c r="B7742" t="s">
        <v>482</v>
      </c>
      <c r="E7742" s="3">
        <f>HYPERLINK("https://sao.dolgi.msk.ru/account/1404267056/", 1404267056)</f>
        <v>1404267056</v>
      </c>
      <c r="F7742">
        <v>-1732.73</v>
      </c>
    </row>
    <row r="7743" spans="1:6" x14ac:dyDescent="0.25">
      <c r="A7743" t="s">
        <v>681</v>
      </c>
      <c r="B7743" t="s">
        <v>484</v>
      </c>
      <c r="C7743" s="5" t="str">
        <f t="shared" ref="C7743:C7744" si="317">" кв. "&amp;B7743</f>
        <v xml:space="preserve"> кв. 466</v>
      </c>
      <c r="D7743" s="5" t="str">
        <f>CONCATENATE(A7743,C7743)</f>
        <v>Ленинградское шоссе, дом 112 к.2 кв. 466</v>
      </c>
      <c r="E7743" s="3">
        <f>HYPERLINK("https://sao.dolgi.msk.ru/account/1404264955/", 1404264955)</f>
        <v>1404264955</v>
      </c>
      <c r="F7743">
        <v>802.95</v>
      </c>
    </row>
    <row r="7744" spans="1:6" x14ac:dyDescent="0.25">
      <c r="A7744" t="s">
        <v>681</v>
      </c>
      <c r="B7744" t="s">
        <v>485</v>
      </c>
      <c r="C7744" s="5" t="str">
        <f t="shared" si="317"/>
        <v xml:space="preserve"> кв. 467</v>
      </c>
      <c r="D7744" s="5" t="str">
        <f>CONCATENATE(A7744,C7744)</f>
        <v>Ленинградское шоссе, дом 112 к.2 кв. 467</v>
      </c>
      <c r="E7744" s="3">
        <f>HYPERLINK("https://sao.dolgi.msk.ru/account/1404265499/", 1404265499)</f>
        <v>1404265499</v>
      </c>
      <c r="F7744">
        <v>544.57000000000005</v>
      </c>
    </row>
    <row r="7745" spans="1:6" hidden="1" x14ac:dyDescent="0.25">
      <c r="A7745" t="s">
        <v>681</v>
      </c>
      <c r="B7745" t="s">
        <v>486</v>
      </c>
      <c r="E7745" s="3">
        <f>HYPERLINK("https://sao.dolgi.msk.ru/account/1404267611/", 1404267611)</f>
        <v>1404267611</v>
      </c>
      <c r="F7745">
        <v>0</v>
      </c>
    </row>
    <row r="7746" spans="1:6" x14ac:dyDescent="0.25">
      <c r="A7746" t="s">
        <v>681</v>
      </c>
      <c r="B7746" t="s">
        <v>487</v>
      </c>
      <c r="C7746" s="5" t="str">
        <f t="shared" ref="C7746:C7747" si="318">" кв. "&amp;B7746</f>
        <v xml:space="preserve"> кв. 469</v>
      </c>
      <c r="D7746" s="5" t="str">
        <f>CONCATENATE(A7746,C7746)</f>
        <v>Ленинградское шоссе, дом 112 к.2 кв. 469</v>
      </c>
      <c r="E7746" s="3">
        <f>HYPERLINK("https://sao.dolgi.msk.ru/account/1404265819/", 1404265819)</f>
        <v>1404265819</v>
      </c>
      <c r="F7746">
        <v>1796.58</v>
      </c>
    </row>
    <row r="7747" spans="1:6" x14ac:dyDescent="0.25">
      <c r="A7747" t="s">
        <v>681</v>
      </c>
      <c r="B7747" t="s">
        <v>488</v>
      </c>
      <c r="C7747" s="5" t="str">
        <f t="shared" si="318"/>
        <v xml:space="preserve"> кв. 470</v>
      </c>
      <c r="D7747" s="5" t="str">
        <f>CONCATENATE(A7747,C7747)</f>
        <v>Ленинградское шоссе, дом 112 к.2 кв. 470</v>
      </c>
      <c r="E7747" s="3">
        <f>HYPERLINK("https://sao.dolgi.msk.ru/account/1404267638/", 1404267638)</f>
        <v>1404267638</v>
      </c>
      <c r="F7747">
        <v>472.87</v>
      </c>
    </row>
    <row r="7748" spans="1:6" hidden="1" x14ac:dyDescent="0.25">
      <c r="A7748" t="s">
        <v>681</v>
      </c>
      <c r="B7748" t="s">
        <v>489</v>
      </c>
      <c r="E7748" s="3">
        <f>HYPERLINK("https://sao.dolgi.msk.ru/account/1404265931/", 1404265931)</f>
        <v>1404265931</v>
      </c>
      <c r="F7748">
        <v>0</v>
      </c>
    </row>
    <row r="7749" spans="1:6" hidden="1" x14ac:dyDescent="0.25">
      <c r="A7749" t="s">
        <v>681</v>
      </c>
      <c r="B7749" t="s">
        <v>490</v>
      </c>
      <c r="E7749" s="3">
        <f>HYPERLINK("https://sao.dolgi.msk.ru/account/1404267152/", 1404267152)</f>
        <v>1404267152</v>
      </c>
      <c r="F7749">
        <v>-2643.82</v>
      </c>
    </row>
    <row r="7750" spans="1:6" hidden="1" x14ac:dyDescent="0.25">
      <c r="A7750" t="s">
        <v>681</v>
      </c>
      <c r="B7750" t="s">
        <v>491</v>
      </c>
      <c r="E7750" s="3">
        <f>HYPERLINK("https://sao.dolgi.msk.ru/account/1404264621/", 1404264621)</f>
        <v>1404264621</v>
      </c>
      <c r="F7750">
        <v>-2218.73</v>
      </c>
    </row>
    <row r="7751" spans="1:6" hidden="1" x14ac:dyDescent="0.25">
      <c r="A7751" t="s">
        <v>681</v>
      </c>
      <c r="B7751" t="s">
        <v>492</v>
      </c>
      <c r="E7751" s="3">
        <f>HYPERLINK("https://sao.dolgi.msk.ru/account/1404266926/", 1404266926)</f>
        <v>1404266926</v>
      </c>
      <c r="F7751">
        <v>-1159.97</v>
      </c>
    </row>
    <row r="7752" spans="1:6" x14ac:dyDescent="0.25">
      <c r="A7752" t="s">
        <v>681</v>
      </c>
      <c r="B7752" t="s">
        <v>493</v>
      </c>
      <c r="C7752" s="5" t="str">
        <f>" кв. "&amp;B7752</f>
        <v xml:space="preserve"> кв. 475</v>
      </c>
      <c r="D7752" s="5" t="str">
        <f>CONCATENATE(A7752,C7752)</f>
        <v>Ленинградское шоссе, дом 112 к.2 кв. 475</v>
      </c>
      <c r="E7752" s="3">
        <f>HYPERLINK("https://sao.dolgi.msk.ru/account/1404265093/", 1404265093)</f>
        <v>1404265093</v>
      </c>
      <c r="F7752">
        <v>1271.53</v>
      </c>
    </row>
    <row r="7753" spans="1:6" hidden="1" x14ac:dyDescent="0.25">
      <c r="A7753" t="s">
        <v>681</v>
      </c>
      <c r="B7753" t="s">
        <v>494</v>
      </c>
      <c r="E7753" s="3">
        <f>HYPERLINK("https://sao.dolgi.msk.ru/account/1404266934/", 1404266934)</f>
        <v>1404266934</v>
      </c>
      <c r="F7753">
        <v>-2634.57</v>
      </c>
    </row>
    <row r="7754" spans="1:6" hidden="1" x14ac:dyDescent="0.25">
      <c r="A7754" t="s">
        <v>681</v>
      </c>
      <c r="B7754" t="s">
        <v>495</v>
      </c>
      <c r="E7754" s="3">
        <f>HYPERLINK("https://sao.dolgi.msk.ru/account/1404265106/", 1404265106)</f>
        <v>1404265106</v>
      </c>
      <c r="F7754">
        <v>-2629.95</v>
      </c>
    </row>
    <row r="7755" spans="1:6" x14ac:dyDescent="0.25">
      <c r="A7755" t="s">
        <v>681</v>
      </c>
      <c r="B7755" t="s">
        <v>496</v>
      </c>
      <c r="C7755" s="5" t="str">
        <f t="shared" ref="C7755:C7756" si="319">" кв. "&amp;B7755</f>
        <v xml:space="preserve"> кв. 478</v>
      </c>
      <c r="D7755" s="5" t="str">
        <f>CONCATENATE(A7755,C7755)</f>
        <v>Ленинградское шоссе, дом 112 к.2 кв. 478</v>
      </c>
      <c r="E7755" s="3">
        <f>HYPERLINK("https://sao.dolgi.msk.ru/account/1404264728/", 1404264728)</f>
        <v>1404264728</v>
      </c>
      <c r="F7755">
        <v>961.55</v>
      </c>
    </row>
    <row r="7756" spans="1:6" x14ac:dyDescent="0.25">
      <c r="A7756" t="s">
        <v>681</v>
      </c>
      <c r="B7756" t="s">
        <v>497</v>
      </c>
      <c r="C7756" s="5" t="str">
        <f t="shared" si="319"/>
        <v xml:space="preserve"> кв. 479</v>
      </c>
      <c r="D7756" s="5" t="str">
        <f>CONCATENATE(A7756,C7756)</f>
        <v>Ленинградское шоссе, дом 112 к.2 кв. 479</v>
      </c>
      <c r="E7756" s="3">
        <f>HYPERLINK("https://sao.dolgi.msk.ru/account/1404266184/", 1404266184)</f>
        <v>1404266184</v>
      </c>
      <c r="F7756">
        <v>1271.53</v>
      </c>
    </row>
    <row r="7757" spans="1:6" hidden="1" x14ac:dyDescent="0.25">
      <c r="A7757" t="s">
        <v>681</v>
      </c>
      <c r="B7757" t="s">
        <v>498</v>
      </c>
      <c r="E7757" s="3">
        <f>HYPERLINK("https://sao.dolgi.msk.ru/account/1404266985/", 1404266985)</f>
        <v>1404266985</v>
      </c>
      <c r="F7757">
        <v>-1525.97</v>
      </c>
    </row>
    <row r="7758" spans="1:6" hidden="1" x14ac:dyDescent="0.25">
      <c r="A7758" t="s">
        <v>681</v>
      </c>
      <c r="B7758" t="s">
        <v>499</v>
      </c>
      <c r="E7758" s="3">
        <f>HYPERLINK("https://sao.dolgi.msk.ru/account/1404265237/", 1404265237)</f>
        <v>1404265237</v>
      </c>
      <c r="F7758">
        <v>0</v>
      </c>
    </row>
    <row r="7759" spans="1:6" hidden="1" x14ac:dyDescent="0.25">
      <c r="A7759" t="s">
        <v>681</v>
      </c>
      <c r="B7759" t="s">
        <v>500</v>
      </c>
      <c r="E7759" s="3">
        <f>HYPERLINK("https://sao.dolgi.msk.ru/account/1404267398/", 1404267398)</f>
        <v>1404267398</v>
      </c>
      <c r="F7759">
        <v>-1386.62</v>
      </c>
    </row>
    <row r="7760" spans="1:6" x14ac:dyDescent="0.25">
      <c r="A7760" t="s">
        <v>681</v>
      </c>
      <c r="B7760" t="s">
        <v>501</v>
      </c>
      <c r="C7760" s="5" t="str">
        <f>" кв. "&amp;B7760</f>
        <v xml:space="preserve"> кв. 483</v>
      </c>
      <c r="D7760" s="5" t="str">
        <f>CONCATENATE(A7760,C7760)</f>
        <v>Ленинградское шоссе, дом 112 к.2 кв. 483</v>
      </c>
      <c r="E7760" s="3">
        <f>HYPERLINK("https://sao.dolgi.msk.ru/account/1404266192/", 1404266192)</f>
        <v>1404266192</v>
      </c>
      <c r="F7760">
        <v>1290.5</v>
      </c>
    </row>
    <row r="7761" spans="1:6" hidden="1" x14ac:dyDescent="0.25">
      <c r="A7761" t="s">
        <v>681</v>
      </c>
      <c r="B7761" t="s">
        <v>502</v>
      </c>
      <c r="E7761" s="3">
        <f>HYPERLINK("https://sao.dolgi.msk.ru/account/1404266205/", 1404266205)</f>
        <v>1404266205</v>
      </c>
      <c r="F7761">
        <v>-1716.31</v>
      </c>
    </row>
    <row r="7762" spans="1:6" hidden="1" x14ac:dyDescent="0.25">
      <c r="A7762" t="s">
        <v>681</v>
      </c>
      <c r="B7762" t="s">
        <v>503</v>
      </c>
      <c r="E7762" s="3">
        <f>HYPERLINK("https://sao.dolgi.msk.ru/account/1404267419/", 1404267419)</f>
        <v>1404267419</v>
      </c>
      <c r="F7762">
        <v>-2657.69</v>
      </c>
    </row>
    <row r="7763" spans="1:6" hidden="1" x14ac:dyDescent="0.25">
      <c r="A7763" t="s">
        <v>681</v>
      </c>
      <c r="B7763" t="s">
        <v>504</v>
      </c>
      <c r="E7763" s="3">
        <f>HYPERLINK("https://sao.dolgi.msk.ru/account/1404267427/", 1404267427)</f>
        <v>1404267427</v>
      </c>
      <c r="F7763">
        <v>0</v>
      </c>
    </row>
    <row r="7764" spans="1:6" x14ac:dyDescent="0.25">
      <c r="A7764" t="s">
        <v>681</v>
      </c>
      <c r="B7764" t="s">
        <v>505</v>
      </c>
      <c r="C7764" s="5" t="str">
        <f>" кв. "&amp;B7764</f>
        <v xml:space="preserve"> кв. 487</v>
      </c>
      <c r="D7764" s="5" t="str">
        <f>CONCATENATE(A7764,C7764)</f>
        <v>Ленинградское шоссе, дом 112 к.2 кв. 487</v>
      </c>
      <c r="E7764" s="3">
        <f>HYPERLINK("https://sao.dolgi.msk.ru/account/1404266213/", 1404266213)</f>
        <v>1404266213</v>
      </c>
      <c r="F7764">
        <v>1299.99</v>
      </c>
    </row>
    <row r="7765" spans="1:6" hidden="1" x14ac:dyDescent="0.25">
      <c r="A7765" t="s">
        <v>681</v>
      </c>
      <c r="B7765" t="s">
        <v>506</v>
      </c>
      <c r="E7765" s="3">
        <f>HYPERLINK("https://sao.dolgi.msk.ru/account/1404265245/", 1404265245)</f>
        <v>1404265245</v>
      </c>
      <c r="F7765">
        <v>-2569.87</v>
      </c>
    </row>
    <row r="7766" spans="1:6" hidden="1" x14ac:dyDescent="0.25">
      <c r="A7766" t="s">
        <v>681</v>
      </c>
      <c r="B7766" t="s">
        <v>507</v>
      </c>
      <c r="E7766" s="3">
        <f>HYPERLINK("https://sao.dolgi.msk.ru/account/1404266993/", 1404266993)</f>
        <v>1404266993</v>
      </c>
      <c r="F7766">
        <v>-2699.29</v>
      </c>
    </row>
    <row r="7767" spans="1:6" hidden="1" x14ac:dyDescent="0.25">
      <c r="A7767" t="s">
        <v>681</v>
      </c>
      <c r="B7767" t="s">
        <v>508</v>
      </c>
      <c r="E7767" s="3">
        <f>HYPERLINK("https://sao.dolgi.msk.ru/account/1404266643/", 1404266643)</f>
        <v>1404266643</v>
      </c>
      <c r="F7767">
        <v>-1405.11</v>
      </c>
    </row>
    <row r="7768" spans="1:6" hidden="1" x14ac:dyDescent="0.25">
      <c r="A7768" t="s">
        <v>681</v>
      </c>
      <c r="B7768" t="s">
        <v>509</v>
      </c>
      <c r="E7768" s="3">
        <f>HYPERLINK("https://sao.dolgi.msk.ru/account/1404264736/", 1404264736)</f>
        <v>1404264736</v>
      </c>
      <c r="F7768">
        <v>-1658.93</v>
      </c>
    </row>
    <row r="7769" spans="1:6" hidden="1" x14ac:dyDescent="0.25">
      <c r="A7769" t="s">
        <v>681</v>
      </c>
      <c r="B7769" t="s">
        <v>510</v>
      </c>
      <c r="E7769" s="3">
        <f>HYPERLINK("https://sao.dolgi.msk.ru/account/1404265691/", 1404265691)</f>
        <v>1404265691</v>
      </c>
      <c r="F7769">
        <v>0</v>
      </c>
    </row>
    <row r="7770" spans="1:6" hidden="1" x14ac:dyDescent="0.25">
      <c r="A7770" t="s">
        <v>681</v>
      </c>
      <c r="B7770" t="s">
        <v>511</v>
      </c>
      <c r="E7770" s="3">
        <f>HYPERLINK("https://sao.dolgi.msk.ru/account/1404264744/", 1404264744)</f>
        <v>1404264744</v>
      </c>
      <c r="F7770">
        <v>-1130.29</v>
      </c>
    </row>
    <row r="7771" spans="1:6" hidden="1" x14ac:dyDescent="0.25">
      <c r="A7771" t="s">
        <v>681</v>
      </c>
      <c r="B7771" t="s">
        <v>512</v>
      </c>
      <c r="E7771" s="3">
        <f>HYPERLINK("https://sao.dolgi.msk.ru/account/1404266221/", 1404266221)</f>
        <v>1404266221</v>
      </c>
      <c r="F7771">
        <v>-1391.24</v>
      </c>
    </row>
    <row r="7772" spans="1:6" hidden="1" x14ac:dyDescent="0.25">
      <c r="A7772" t="s">
        <v>681</v>
      </c>
      <c r="B7772" t="s">
        <v>513</v>
      </c>
      <c r="E7772" s="3">
        <f>HYPERLINK("https://sao.dolgi.msk.ru/account/1404265704/", 1404265704)</f>
        <v>1404265704</v>
      </c>
      <c r="F7772">
        <v>-1899.67</v>
      </c>
    </row>
    <row r="7773" spans="1:6" x14ac:dyDescent="0.25">
      <c r="A7773" t="s">
        <v>681</v>
      </c>
      <c r="B7773" t="s">
        <v>514</v>
      </c>
      <c r="C7773" s="5" t="str">
        <f>" кв. "&amp;B7773</f>
        <v xml:space="preserve"> кв. 496</v>
      </c>
      <c r="D7773" s="5" t="str">
        <f>CONCATENATE(A7773,C7773)</f>
        <v>Ленинградское шоссе, дом 112 к.2 кв. 496</v>
      </c>
      <c r="E7773" s="3">
        <f>HYPERLINK("https://sao.dolgi.msk.ru/account/1404266248/", 1404266248)</f>
        <v>1404266248</v>
      </c>
      <c r="F7773">
        <v>1809.24</v>
      </c>
    </row>
    <row r="7774" spans="1:6" hidden="1" x14ac:dyDescent="0.25">
      <c r="A7774" t="s">
        <v>681</v>
      </c>
      <c r="B7774" t="s">
        <v>515</v>
      </c>
      <c r="E7774" s="3">
        <f>HYPERLINK("https://sao.dolgi.msk.ru/account/1404264752/", 1404264752)</f>
        <v>1404264752</v>
      </c>
      <c r="F7774">
        <v>-2868.28</v>
      </c>
    </row>
    <row r="7775" spans="1:6" hidden="1" x14ac:dyDescent="0.25">
      <c r="A7775" t="s">
        <v>681</v>
      </c>
      <c r="B7775" t="s">
        <v>516</v>
      </c>
      <c r="E7775" s="3">
        <f>HYPERLINK("https://sao.dolgi.msk.ru/account/1404267435/", 1404267435)</f>
        <v>1404267435</v>
      </c>
      <c r="F7775">
        <v>-1395.87</v>
      </c>
    </row>
    <row r="7776" spans="1:6" hidden="1" x14ac:dyDescent="0.25">
      <c r="A7776" t="s">
        <v>681</v>
      </c>
      <c r="B7776" t="s">
        <v>517</v>
      </c>
      <c r="E7776" s="3">
        <f>HYPERLINK("https://sao.dolgi.msk.ru/account/1404265712/", 1404265712)</f>
        <v>1404265712</v>
      </c>
      <c r="F7776">
        <v>-1895.05</v>
      </c>
    </row>
    <row r="7777" spans="1:6" hidden="1" x14ac:dyDescent="0.25">
      <c r="A7777" t="s">
        <v>681</v>
      </c>
      <c r="B7777" t="s">
        <v>518</v>
      </c>
      <c r="E7777" s="3">
        <f>HYPERLINK("https://sao.dolgi.msk.ru/account/1404267443/", 1404267443)</f>
        <v>1404267443</v>
      </c>
      <c r="F7777">
        <v>0</v>
      </c>
    </row>
    <row r="7778" spans="1:6" x14ac:dyDescent="0.25">
      <c r="A7778" t="s">
        <v>681</v>
      </c>
      <c r="B7778" t="s">
        <v>519</v>
      </c>
      <c r="C7778" s="5" t="str">
        <f>" кв. "&amp;B7778</f>
        <v xml:space="preserve"> кв. 501</v>
      </c>
      <c r="D7778" s="5" t="str">
        <f>CONCATENATE(A7778,C7778)</f>
        <v>Ленинградское шоссе, дом 112 к.2 кв. 501</v>
      </c>
      <c r="E7778" s="3">
        <f>HYPERLINK("https://sao.dolgi.msk.ru/account/1404174693/", 1404174693)</f>
        <v>1404174693</v>
      </c>
      <c r="F7778">
        <v>757.9</v>
      </c>
    </row>
    <row r="7779" spans="1:6" hidden="1" x14ac:dyDescent="0.25">
      <c r="A7779" t="s">
        <v>681</v>
      </c>
      <c r="B7779" t="s">
        <v>519</v>
      </c>
      <c r="E7779" s="3">
        <f>HYPERLINK("https://sao.dolgi.msk.ru/account/1404265253/", 1404265253)</f>
        <v>1404265253</v>
      </c>
      <c r="F7779">
        <v>-1175.2</v>
      </c>
    </row>
    <row r="7780" spans="1:6" hidden="1" x14ac:dyDescent="0.25">
      <c r="A7780" t="s">
        <v>681</v>
      </c>
      <c r="B7780" t="s">
        <v>520</v>
      </c>
      <c r="E7780" s="3">
        <f>HYPERLINK("https://sao.dolgi.msk.ru/account/1404266651/", 1404266651)</f>
        <v>1404266651</v>
      </c>
      <c r="F7780">
        <v>-1010.47</v>
      </c>
    </row>
    <row r="7781" spans="1:6" hidden="1" x14ac:dyDescent="0.25">
      <c r="A7781" t="s">
        <v>681</v>
      </c>
      <c r="B7781" t="s">
        <v>521</v>
      </c>
      <c r="E7781" s="3">
        <f>HYPERLINK("https://sao.dolgi.msk.ru/account/1404264787/", 1404264787)</f>
        <v>1404264787</v>
      </c>
      <c r="F7781">
        <v>-1388.99</v>
      </c>
    </row>
    <row r="7782" spans="1:6" hidden="1" x14ac:dyDescent="0.25">
      <c r="A7782" t="s">
        <v>681</v>
      </c>
      <c r="B7782" t="s">
        <v>522</v>
      </c>
      <c r="E7782" s="3">
        <f>HYPERLINK("https://sao.dolgi.msk.ru/account/1404265739/", 1404265739)</f>
        <v>1404265739</v>
      </c>
      <c r="F7782">
        <v>0</v>
      </c>
    </row>
    <row r="7783" spans="1:6" hidden="1" x14ac:dyDescent="0.25">
      <c r="A7783" t="s">
        <v>681</v>
      </c>
      <c r="B7783" t="s">
        <v>523</v>
      </c>
      <c r="E7783" s="3">
        <f>HYPERLINK("https://sao.dolgi.msk.ru/account/1404267451/", 1404267451)</f>
        <v>1404267451</v>
      </c>
      <c r="F7783">
        <v>-2625.34</v>
      </c>
    </row>
    <row r="7784" spans="1:6" hidden="1" x14ac:dyDescent="0.25">
      <c r="A7784" t="s">
        <v>681</v>
      </c>
      <c r="B7784" t="s">
        <v>524</v>
      </c>
      <c r="E7784" s="3">
        <f>HYPERLINK("https://sao.dolgi.msk.ru/account/1404264795/", 1404264795)</f>
        <v>1404264795</v>
      </c>
      <c r="F7784">
        <v>-1377.37</v>
      </c>
    </row>
    <row r="7785" spans="1:6" x14ac:dyDescent="0.25">
      <c r="A7785" t="s">
        <v>681</v>
      </c>
      <c r="B7785" t="s">
        <v>525</v>
      </c>
      <c r="C7785" s="5" t="str">
        <f t="shared" ref="C7785:C7786" si="320">" кв. "&amp;B7785</f>
        <v xml:space="preserve"> кв. 507</v>
      </c>
      <c r="D7785" s="5" t="str">
        <f>CONCATENATE(A7785,C7785)</f>
        <v>Ленинградское шоссе, дом 112 к.2 кв. 507</v>
      </c>
      <c r="E7785" s="3">
        <f>HYPERLINK("https://sao.dolgi.msk.ru/account/1404265261/", 1404265261)</f>
        <v>1404265261</v>
      </c>
      <c r="F7785">
        <v>1281.02</v>
      </c>
    </row>
    <row r="7786" spans="1:6" x14ac:dyDescent="0.25">
      <c r="A7786" t="s">
        <v>681</v>
      </c>
      <c r="B7786" t="s">
        <v>526</v>
      </c>
      <c r="C7786" s="5" t="str">
        <f t="shared" si="320"/>
        <v xml:space="preserve"> кв. 508</v>
      </c>
      <c r="D7786" s="5" t="str">
        <f>CONCATENATE(A7786,C7786)</f>
        <v>Ленинградское шоссе, дом 112 к.2 кв. 508</v>
      </c>
      <c r="E7786" s="3">
        <f>HYPERLINK("https://sao.dolgi.msk.ru/account/1404267478/", 1404267478)</f>
        <v>1404267478</v>
      </c>
      <c r="F7786">
        <v>907.78</v>
      </c>
    </row>
    <row r="7787" spans="1:6" hidden="1" x14ac:dyDescent="0.25">
      <c r="A7787" t="s">
        <v>681</v>
      </c>
      <c r="B7787" t="s">
        <v>527</v>
      </c>
      <c r="E7787" s="3">
        <f>HYPERLINK("https://sao.dolgi.msk.ru/account/1404264808/", 1404264808)</f>
        <v>1404264808</v>
      </c>
      <c r="F7787">
        <v>-1558.4</v>
      </c>
    </row>
    <row r="7788" spans="1:6" hidden="1" x14ac:dyDescent="0.25">
      <c r="A7788" t="s">
        <v>681</v>
      </c>
      <c r="B7788" t="s">
        <v>528</v>
      </c>
      <c r="E7788" s="3">
        <f>HYPERLINK("https://sao.dolgi.msk.ru/account/1404267005/", 1404267005)</f>
        <v>1404267005</v>
      </c>
      <c r="F7788">
        <v>-686.36</v>
      </c>
    </row>
    <row r="7789" spans="1:6" hidden="1" x14ac:dyDescent="0.25">
      <c r="A7789" t="s">
        <v>681</v>
      </c>
      <c r="B7789" t="s">
        <v>529</v>
      </c>
      <c r="E7789" s="3">
        <f>HYPERLINK("https://sao.dolgi.msk.ru/account/1404265288/", 1404265288)</f>
        <v>1404265288</v>
      </c>
      <c r="F7789">
        <v>0</v>
      </c>
    </row>
    <row r="7790" spans="1:6" hidden="1" x14ac:dyDescent="0.25">
      <c r="A7790" t="s">
        <v>681</v>
      </c>
      <c r="B7790" t="s">
        <v>530</v>
      </c>
      <c r="E7790" s="3">
        <f>HYPERLINK("https://sao.dolgi.msk.ru/account/1404265296/", 1404265296)</f>
        <v>1404265296</v>
      </c>
      <c r="F7790">
        <v>-2519.04</v>
      </c>
    </row>
    <row r="7791" spans="1:6" hidden="1" x14ac:dyDescent="0.25">
      <c r="A7791" t="s">
        <v>681</v>
      </c>
      <c r="B7791" t="s">
        <v>531</v>
      </c>
      <c r="E7791" s="3">
        <f>HYPERLINK("https://sao.dolgi.msk.ru/account/1404267013/", 1404267013)</f>
        <v>1404267013</v>
      </c>
      <c r="F7791">
        <v>-2579.11</v>
      </c>
    </row>
    <row r="7792" spans="1:6" hidden="1" x14ac:dyDescent="0.25">
      <c r="A7792" t="s">
        <v>681</v>
      </c>
      <c r="B7792" t="s">
        <v>532</v>
      </c>
      <c r="E7792" s="3">
        <f>HYPERLINK("https://sao.dolgi.msk.ru/account/1404267486/", 1404267486)</f>
        <v>1404267486</v>
      </c>
      <c r="F7792">
        <v>0</v>
      </c>
    </row>
    <row r="7793" spans="1:6" hidden="1" x14ac:dyDescent="0.25">
      <c r="A7793" t="s">
        <v>681</v>
      </c>
      <c r="B7793" t="s">
        <v>533</v>
      </c>
      <c r="E7793" s="3">
        <f>HYPERLINK("https://sao.dolgi.msk.ru/account/1404266256/", 1404266256)</f>
        <v>1404266256</v>
      </c>
      <c r="F7793">
        <v>0</v>
      </c>
    </row>
    <row r="7794" spans="1:6" hidden="1" x14ac:dyDescent="0.25">
      <c r="A7794" t="s">
        <v>681</v>
      </c>
      <c r="B7794" t="s">
        <v>534</v>
      </c>
      <c r="E7794" s="3">
        <f>HYPERLINK("https://sao.dolgi.msk.ru/account/1404265747/", 1404265747)</f>
        <v>1404265747</v>
      </c>
      <c r="F7794">
        <v>0</v>
      </c>
    </row>
    <row r="7795" spans="1:6" hidden="1" x14ac:dyDescent="0.25">
      <c r="A7795" t="s">
        <v>681</v>
      </c>
      <c r="B7795" t="s">
        <v>535</v>
      </c>
      <c r="E7795" s="3">
        <f>HYPERLINK("https://sao.dolgi.msk.ru/account/1404267494/", 1404267494)</f>
        <v>1404267494</v>
      </c>
      <c r="F7795">
        <v>-895.75</v>
      </c>
    </row>
    <row r="7796" spans="1:6" hidden="1" x14ac:dyDescent="0.25">
      <c r="A7796" t="s">
        <v>681</v>
      </c>
      <c r="B7796" t="s">
        <v>535</v>
      </c>
      <c r="E7796" s="3">
        <f>HYPERLINK("https://sao.dolgi.msk.ru/account/1404267822/", 1404267822)</f>
        <v>1404267822</v>
      </c>
      <c r="F7796">
        <v>-869.4</v>
      </c>
    </row>
    <row r="7797" spans="1:6" x14ac:dyDescent="0.25">
      <c r="A7797" t="s">
        <v>681</v>
      </c>
      <c r="B7797" t="s">
        <v>536</v>
      </c>
      <c r="C7797" s="5" t="str">
        <f>" кв. "&amp;B7797</f>
        <v xml:space="preserve"> кв. 518</v>
      </c>
      <c r="D7797" s="5" t="str">
        <f>CONCATENATE(A7797,C7797)</f>
        <v>Ленинградское шоссе, дом 112 к.2 кв. 518</v>
      </c>
      <c r="E7797" s="3">
        <f>HYPERLINK("https://sao.dolgi.msk.ru/account/1404266264/", 1404266264)</f>
        <v>1404266264</v>
      </c>
      <c r="F7797">
        <v>942.57</v>
      </c>
    </row>
    <row r="7798" spans="1:6" hidden="1" x14ac:dyDescent="0.25">
      <c r="A7798" t="s">
        <v>681</v>
      </c>
      <c r="B7798" t="s">
        <v>537</v>
      </c>
      <c r="E7798" s="3">
        <f>HYPERLINK("https://sao.dolgi.msk.ru/account/1404267507/", 1404267507)</f>
        <v>1404267507</v>
      </c>
      <c r="F7798">
        <v>-1104.67</v>
      </c>
    </row>
    <row r="7799" spans="1:6" hidden="1" x14ac:dyDescent="0.25">
      <c r="A7799" t="s">
        <v>681</v>
      </c>
      <c r="B7799" t="s">
        <v>538</v>
      </c>
      <c r="E7799" s="3">
        <f>HYPERLINK("https://sao.dolgi.msk.ru/account/1404264947/", 1404264947)</f>
        <v>1404264947</v>
      </c>
      <c r="F7799">
        <v>-2629.95</v>
      </c>
    </row>
    <row r="7800" spans="1:6" hidden="1" x14ac:dyDescent="0.25">
      <c r="A7800" t="s">
        <v>681</v>
      </c>
      <c r="B7800" t="s">
        <v>539</v>
      </c>
      <c r="E7800" s="3">
        <f>HYPERLINK("https://sao.dolgi.msk.ru/account/1404265923/", 1404265923)</f>
        <v>1404265923</v>
      </c>
      <c r="F7800">
        <v>-2535.0500000000002</v>
      </c>
    </row>
    <row r="7801" spans="1:6" x14ac:dyDescent="0.25">
      <c r="A7801" t="s">
        <v>681</v>
      </c>
      <c r="B7801" t="s">
        <v>540</v>
      </c>
      <c r="C7801" s="5" t="str">
        <f>" кв. "&amp;B7801</f>
        <v xml:space="preserve"> кв. 522</v>
      </c>
      <c r="D7801" s="5" t="str">
        <f>CONCATENATE(A7801,C7801)</f>
        <v>Ленинградское шоссе, дом 112 к.2 кв. 522</v>
      </c>
      <c r="E7801" s="3">
        <f>HYPERLINK("https://sao.dolgi.msk.ru/account/1404267144/", 1404267144)</f>
        <v>1404267144</v>
      </c>
      <c r="F7801">
        <v>958.39</v>
      </c>
    </row>
    <row r="7802" spans="1:6" hidden="1" x14ac:dyDescent="0.25">
      <c r="A7802" t="s">
        <v>681</v>
      </c>
      <c r="B7802" t="s">
        <v>541</v>
      </c>
      <c r="E7802" s="3">
        <f>HYPERLINK("https://sao.dolgi.msk.ru/account/1404265069/", 1404265069)</f>
        <v>1404265069</v>
      </c>
      <c r="F7802">
        <v>-1089.6199999999999</v>
      </c>
    </row>
    <row r="7803" spans="1:6" hidden="1" x14ac:dyDescent="0.25">
      <c r="A7803" t="s">
        <v>681</v>
      </c>
      <c r="B7803" t="s">
        <v>542</v>
      </c>
      <c r="E7803" s="3">
        <f>HYPERLINK("https://sao.dolgi.msk.ru/account/1404267689/", 1404267689)</f>
        <v>1404267689</v>
      </c>
      <c r="F7803">
        <v>0</v>
      </c>
    </row>
    <row r="7804" spans="1:6" x14ac:dyDescent="0.25">
      <c r="A7804" t="s">
        <v>681</v>
      </c>
      <c r="B7804" t="s">
        <v>543</v>
      </c>
      <c r="C7804" s="5" t="str">
        <f t="shared" ref="C7804:C7806" si="321">" кв. "&amp;B7804</f>
        <v xml:space="preserve"> кв. 525</v>
      </c>
      <c r="D7804" s="5" t="str">
        <f>CONCATENATE(A7804,C7804)</f>
        <v>Ленинградское шоссе, дом 112 к.2 кв. 525</v>
      </c>
      <c r="E7804" s="3">
        <f>HYPERLINK("https://sao.dolgi.msk.ru/account/1404267224/", 1404267224)</f>
        <v>1404267224</v>
      </c>
      <c r="F7804">
        <v>1815.56</v>
      </c>
    </row>
    <row r="7805" spans="1:6" x14ac:dyDescent="0.25">
      <c r="A7805" t="s">
        <v>681</v>
      </c>
      <c r="B7805" t="s">
        <v>544</v>
      </c>
      <c r="C7805" s="5" t="str">
        <f t="shared" si="321"/>
        <v xml:space="preserve"> кв. 526</v>
      </c>
      <c r="D7805" s="5" t="str">
        <f>CONCATENATE(A7805,C7805)</f>
        <v>Ленинградское шоссе, дом 112 к.2 кв. 526</v>
      </c>
      <c r="E7805" s="3">
        <f>HYPERLINK("https://sao.dolgi.msk.ru/account/1404266491/", 1404266491)</f>
        <v>1404266491</v>
      </c>
      <c r="F7805">
        <v>472.87</v>
      </c>
    </row>
    <row r="7806" spans="1:6" x14ac:dyDescent="0.25">
      <c r="A7806" t="s">
        <v>681</v>
      </c>
      <c r="B7806" t="s">
        <v>545</v>
      </c>
      <c r="C7806" s="5" t="str">
        <f t="shared" si="321"/>
        <v xml:space="preserve"> кв. 527</v>
      </c>
      <c r="D7806" s="5" t="str">
        <f>CONCATENATE(A7806,C7806)</f>
        <v>Ленинградское шоссе, дом 112 к.2 кв. 527</v>
      </c>
      <c r="E7806" s="3">
        <f>HYPERLINK("https://sao.dolgi.msk.ru/account/1404264568/", 1404264568)</f>
        <v>1404264568</v>
      </c>
      <c r="F7806">
        <v>1293.67</v>
      </c>
    </row>
    <row r="7807" spans="1:6" hidden="1" x14ac:dyDescent="0.25">
      <c r="A7807" t="s">
        <v>681</v>
      </c>
      <c r="B7807" t="s">
        <v>546</v>
      </c>
      <c r="E7807" s="3">
        <f>HYPERLINK("https://sao.dolgi.msk.ru/account/1404266002/", 1404266002)</f>
        <v>1404266002</v>
      </c>
      <c r="F7807">
        <v>-2643.82</v>
      </c>
    </row>
    <row r="7808" spans="1:6" hidden="1" x14ac:dyDescent="0.25">
      <c r="A7808" t="s">
        <v>681</v>
      </c>
      <c r="B7808" t="s">
        <v>547</v>
      </c>
      <c r="E7808" s="3">
        <f>HYPERLINK("https://sao.dolgi.msk.ru/account/1404266811/", 1404266811)</f>
        <v>1404266811</v>
      </c>
      <c r="F7808">
        <v>-2671.55</v>
      </c>
    </row>
    <row r="7809" spans="1:6" hidden="1" x14ac:dyDescent="0.25">
      <c r="A7809" t="s">
        <v>681</v>
      </c>
      <c r="B7809" t="s">
        <v>548</v>
      </c>
      <c r="E7809" s="3">
        <f>HYPERLINK("https://sao.dolgi.msk.ru/account/1404267232/", 1404267232)</f>
        <v>1404267232</v>
      </c>
      <c r="F7809">
        <v>-220.32</v>
      </c>
    </row>
    <row r="7810" spans="1:6" hidden="1" x14ac:dyDescent="0.25">
      <c r="A7810" t="s">
        <v>681</v>
      </c>
      <c r="B7810" t="s">
        <v>549</v>
      </c>
      <c r="E7810" s="3">
        <f>HYPERLINK("https://sao.dolgi.msk.ru/account/1404266029/", 1404266029)</f>
        <v>1404266029</v>
      </c>
      <c r="F7810">
        <v>-1908.92</v>
      </c>
    </row>
    <row r="7811" spans="1:6" hidden="1" x14ac:dyDescent="0.25">
      <c r="A7811" t="s">
        <v>681</v>
      </c>
      <c r="B7811" t="s">
        <v>550</v>
      </c>
      <c r="E7811" s="3">
        <f>HYPERLINK("https://sao.dolgi.msk.ru/account/1404264779/", 1404264779)</f>
        <v>1404264779</v>
      </c>
      <c r="F7811">
        <v>-1314.97</v>
      </c>
    </row>
    <row r="7812" spans="1:6" hidden="1" x14ac:dyDescent="0.25">
      <c r="A7812" t="s">
        <v>681</v>
      </c>
      <c r="B7812" t="s">
        <v>550</v>
      </c>
      <c r="E7812" s="3">
        <f>HYPERLINK("https://sao.dolgi.msk.ru/account/1404267259/", 1404267259)</f>
        <v>1404267259</v>
      </c>
      <c r="F7812">
        <v>-1314.97</v>
      </c>
    </row>
    <row r="7813" spans="1:6" hidden="1" x14ac:dyDescent="0.25">
      <c r="A7813" t="s">
        <v>681</v>
      </c>
      <c r="B7813" t="s">
        <v>551</v>
      </c>
      <c r="E7813" s="3">
        <f>HYPERLINK("https://sao.dolgi.msk.ru/account/1404267857/", 1404267857)</f>
        <v>1404267857</v>
      </c>
      <c r="F7813">
        <v>0</v>
      </c>
    </row>
    <row r="7814" spans="1:6" hidden="1" x14ac:dyDescent="0.25">
      <c r="A7814" t="s">
        <v>681</v>
      </c>
      <c r="B7814" t="s">
        <v>552</v>
      </c>
      <c r="E7814" s="3">
        <f>HYPERLINK("https://sao.dolgi.msk.ru/account/1404265341/", 1404265341)</f>
        <v>1404265341</v>
      </c>
      <c r="F7814">
        <v>-1391.24</v>
      </c>
    </row>
    <row r="7815" spans="1:6" x14ac:dyDescent="0.25">
      <c r="A7815" t="s">
        <v>681</v>
      </c>
      <c r="B7815" t="s">
        <v>553</v>
      </c>
      <c r="C7815" s="5" t="str">
        <f>" кв. "&amp;B7815</f>
        <v xml:space="preserve"> кв. 535</v>
      </c>
      <c r="D7815" s="5" t="str">
        <f>CONCATENATE(A7815,C7815)</f>
        <v>Ленинградское шоссе, дом 112 к.2 кв. 535</v>
      </c>
      <c r="E7815" s="3">
        <f>HYPERLINK("https://sao.dolgi.msk.ru/account/1404267865/", 1404267865)</f>
        <v>1404267865</v>
      </c>
      <c r="F7815">
        <v>803.4</v>
      </c>
    </row>
    <row r="7816" spans="1:6" hidden="1" x14ac:dyDescent="0.25">
      <c r="A7816" t="s">
        <v>681</v>
      </c>
      <c r="B7816" t="s">
        <v>554</v>
      </c>
      <c r="E7816" s="3">
        <f>HYPERLINK("https://sao.dolgi.msk.ru/account/1404267064/", 1404267064)</f>
        <v>1404267064</v>
      </c>
      <c r="F7816">
        <v>-414.38</v>
      </c>
    </row>
    <row r="7817" spans="1:6" x14ac:dyDescent="0.25">
      <c r="A7817" t="s">
        <v>681</v>
      </c>
      <c r="B7817" t="s">
        <v>555</v>
      </c>
      <c r="C7817" s="5" t="str">
        <f t="shared" ref="C7817:C7818" si="322">" кв. "&amp;B7817</f>
        <v xml:space="preserve"> кв. 537</v>
      </c>
      <c r="D7817" s="5" t="str">
        <f>CONCATENATE(A7817,C7817)</f>
        <v>Ленинградское шоссе, дом 112 к.2 кв. 537</v>
      </c>
      <c r="E7817" s="3">
        <f>HYPERLINK("https://sao.dolgi.msk.ru/account/1404264832/", 1404264832)</f>
        <v>1404264832</v>
      </c>
      <c r="F7817">
        <v>378.95</v>
      </c>
    </row>
    <row r="7818" spans="1:6" x14ac:dyDescent="0.25">
      <c r="A7818" t="s">
        <v>681</v>
      </c>
      <c r="B7818" t="s">
        <v>557</v>
      </c>
      <c r="C7818" s="5" t="str">
        <f t="shared" si="322"/>
        <v xml:space="preserve"> кв. 539</v>
      </c>
      <c r="D7818" s="5" t="str">
        <f>CONCATENATE(A7818,C7818)</f>
        <v>Ленинградское шоссе, дом 112 к.2 кв. 539</v>
      </c>
      <c r="E7818" s="3">
        <f>HYPERLINK("https://sao.dolgi.msk.ru/account/1404265413/", 1404265413)</f>
        <v>1404265413</v>
      </c>
      <c r="F7818">
        <v>907.78</v>
      </c>
    </row>
    <row r="7819" spans="1:6" hidden="1" x14ac:dyDescent="0.25">
      <c r="A7819" t="s">
        <v>681</v>
      </c>
      <c r="B7819" t="s">
        <v>558</v>
      </c>
      <c r="E7819" s="3">
        <f>HYPERLINK("https://sao.dolgi.msk.ru/account/1404265368/", 1404265368)</f>
        <v>1404265368</v>
      </c>
      <c r="F7819">
        <v>-1400.49</v>
      </c>
    </row>
    <row r="7820" spans="1:6" hidden="1" x14ac:dyDescent="0.25">
      <c r="A7820" t="s">
        <v>681</v>
      </c>
      <c r="B7820" t="s">
        <v>559</v>
      </c>
      <c r="E7820" s="3">
        <f>HYPERLINK("https://sao.dolgi.msk.ru/account/1404265376/", 1404265376)</f>
        <v>1404265376</v>
      </c>
      <c r="F7820">
        <v>-1706.51</v>
      </c>
    </row>
    <row r="7821" spans="1:6" hidden="1" x14ac:dyDescent="0.25">
      <c r="A7821" t="s">
        <v>681</v>
      </c>
      <c r="B7821" t="s">
        <v>560</v>
      </c>
      <c r="E7821" s="3">
        <f>HYPERLINK("https://sao.dolgi.msk.ru/account/1404266328/", 1404266328)</f>
        <v>1404266328</v>
      </c>
      <c r="F7821">
        <v>-1409.74</v>
      </c>
    </row>
    <row r="7822" spans="1:6" hidden="1" x14ac:dyDescent="0.25">
      <c r="A7822" t="s">
        <v>681</v>
      </c>
      <c r="B7822" t="s">
        <v>561</v>
      </c>
      <c r="E7822" s="3">
        <f>HYPERLINK("https://sao.dolgi.msk.ru/account/1404265763/", 1404265763)</f>
        <v>1404265763</v>
      </c>
      <c r="F7822">
        <v>-1630.96</v>
      </c>
    </row>
    <row r="7823" spans="1:6" hidden="1" x14ac:dyDescent="0.25">
      <c r="A7823" t="s">
        <v>681</v>
      </c>
      <c r="B7823" t="s">
        <v>562</v>
      </c>
      <c r="E7823" s="3">
        <f>HYPERLINK("https://sao.dolgi.msk.ru/account/1404265771/", 1404265771)</f>
        <v>1404265771</v>
      </c>
      <c r="F7823">
        <v>-714.13</v>
      </c>
    </row>
    <row r="7824" spans="1:6" x14ac:dyDescent="0.25">
      <c r="A7824" t="s">
        <v>681</v>
      </c>
      <c r="B7824" t="s">
        <v>563</v>
      </c>
      <c r="C7824" s="5" t="str">
        <f>" кв. "&amp;B7824</f>
        <v xml:space="preserve"> кв. 545</v>
      </c>
      <c r="D7824" s="5" t="str">
        <f>CONCATENATE(A7824,C7824)</f>
        <v>Ленинградское шоссе, дом 112 к.2 кв. 545</v>
      </c>
      <c r="E7824" s="3">
        <f>HYPERLINK("https://sao.dolgi.msk.ru/account/1404266686/", 1404266686)</f>
        <v>1404266686</v>
      </c>
      <c r="F7824">
        <v>1809.24</v>
      </c>
    </row>
    <row r="7825" spans="1:6" hidden="1" x14ac:dyDescent="0.25">
      <c r="A7825" t="s">
        <v>681</v>
      </c>
      <c r="B7825" t="s">
        <v>564</v>
      </c>
      <c r="E7825" s="3">
        <f>HYPERLINK("https://sao.dolgi.msk.ru/account/1404266694/", 1404266694)</f>
        <v>1404266694</v>
      </c>
      <c r="F7825">
        <v>0</v>
      </c>
    </row>
    <row r="7826" spans="1:6" hidden="1" x14ac:dyDescent="0.25">
      <c r="A7826" t="s">
        <v>681</v>
      </c>
      <c r="B7826" t="s">
        <v>565</v>
      </c>
      <c r="E7826" s="3">
        <f>HYPERLINK("https://sao.dolgi.msk.ru/account/1404267072/", 1404267072)</f>
        <v>1404267072</v>
      </c>
      <c r="F7826">
        <v>-1623.19</v>
      </c>
    </row>
    <row r="7827" spans="1:6" x14ac:dyDescent="0.25">
      <c r="A7827" t="s">
        <v>681</v>
      </c>
      <c r="B7827" t="s">
        <v>566</v>
      </c>
      <c r="C7827" s="5" t="str">
        <f t="shared" ref="C7827:C7830" si="323">" кв. "&amp;B7827</f>
        <v xml:space="preserve"> кв. 548</v>
      </c>
      <c r="D7827" s="5" t="str">
        <f>CONCATENATE(A7827,C7827)</f>
        <v>Ленинградское шоссе, дом 112 к.2 кв. 548</v>
      </c>
      <c r="E7827" s="3">
        <f>HYPERLINK("https://sao.dolgi.msk.ru/account/1404267099/", 1404267099)</f>
        <v>1404267099</v>
      </c>
      <c r="F7827">
        <v>493.43</v>
      </c>
    </row>
    <row r="7828" spans="1:6" x14ac:dyDescent="0.25">
      <c r="A7828" t="s">
        <v>681</v>
      </c>
      <c r="B7828" t="s">
        <v>567</v>
      </c>
      <c r="C7828" s="5" t="str">
        <f t="shared" si="323"/>
        <v xml:space="preserve"> кв. 549</v>
      </c>
      <c r="D7828" s="5" t="str">
        <f>CONCATENATE(A7828,C7828)</f>
        <v>Ленинградское шоссе, дом 112 к.2 кв. 549</v>
      </c>
      <c r="E7828" s="3">
        <f>HYPERLINK("https://sao.dolgi.msk.ru/account/1404266707/", 1404266707)</f>
        <v>1404266707</v>
      </c>
      <c r="F7828">
        <v>1815.56</v>
      </c>
    </row>
    <row r="7829" spans="1:6" x14ac:dyDescent="0.25">
      <c r="A7829" t="s">
        <v>681</v>
      </c>
      <c r="B7829" t="s">
        <v>568</v>
      </c>
      <c r="C7829" s="5" t="str">
        <f t="shared" si="323"/>
        <v xml:space="preserve"> кв. 550</v>
      </c>
      <c r="D7829" s="5" t="str">
        <f>CONCATENATE(A7829,C7829)</f>
        <v>Ленинградское шоссе, дом 112 к.2 кв. 550</v>
      </c>
      <c r="E7829" s="3">
        <f>HYPERLINK("https://sao.dolgi.msk.ru/account/1404265384/", 1404265384)</f>
        <v>1404265384</v>
      </c>
      <c r="F7829">
        <v>955.23</v>
      </c>
    </row>
    <row r="7830" spans="1:6" x14ac:dyDescent="0.25">
      <c r="A7830" t="s">
        <v>681</v>
      </c>
      <c r="B7830" t="s">
        <v>569</v>
      </c>
      <c r="C7830" s="5" t="str">
        <f t="shared" si="323"/>
        <v xml:space="preserve"> кв. 551</v>
      </c>
      <c r="D7830" s="5" t="str">
        <f>CONCATENATE(A7830,C7830)</f>
        <v>Ленинградское шоссе, дом 112 к.2 кв. 551</v>
      </c>
      <c r="E7830" s="3">
        <f>HYPERLINK("https://sao.dolgi.msk.ru/account/1404265798/", 1404265798)</f>
        <v>1404265798</v>
      </c>
      <c r="F7830">
        <v>1334.79</v>
      </c>
    </row>
    <row r="7831" spans="1:6" hidden="1" x14ac:dyDescent="0.25">
      <c r="A7831" t="s">
        <v>681</v>
      </c>
      <c r="B7831" t="s">
        <v>570</v>
      </c>
      <c r="E7831" s="3">
        <f>HYPERLINK("https://sao.dolgi.msk.ru/account/1404266336/", 1404266336)</f>
        <v>1404266336</v>
      </c>
      <c r="F7831">
        <v>-1451.32</v>
      </c>
    </row>
    <row r="7832" spans="1:6" hidden="1" x14ac:dyDescent="0.25">
      <c r="A7832" t="s">
        <v>681</v>
      </c>
      <c r="B7832" t="s">
        <v>571</v>
      </c>
      <c r="E7832" s="3">
        <f>HYPERLINK("https://sao.dolgi.msk.ru/account/1404264859/", 1404264859)</f>
        <v>1404264859</v>
      </c>
      <c r="F7832">
        <v>-1558.4</v>
      </c>
    </row>
    <row r="7833" spans="1:6" hidden="1" x14ac:dyDescent="0.25">
      <c r="A7833" t="s">
        <v>681</v>
      </c>
      <c r="B7833" t="s">
        <v>572</v>
      </c>
      <c r="E7833" s="3">
        <f>HYPERLINK("https://sao.dolgi.msk.ru/account/1404267777/", 1404267777)</f>
        <v>1404267777</v>
      </c>
      <c r="F7833">
        <v>0</v>
      </c>
    </row>
    <row r="7834" spans="1:6" x14ac:dyDescent="0.25">
      <c r="A7834" t="s">
        <v>681</v>
      </c>
      <c r="B7834" t="s">
        <v>573</v>
      </c>
      <c r="C7834" s="5" t="str">
        <f t="shared" ref="C7834:C7835" si="324">" кв. "&amp;B7834</f>
        <v xml:space="preserve"> кв. 555</v>
      </c>
      <c r="D7834" s="5" t="str">
        <f>CONCATENATE(A7834,C7834)</f>
        <v>Ленинградское шоссе, дом 112 к.2 кв. 555</v>
      </c>
      <c r="E7834" s="3">
        <f>HYPERLINK("https://sao.dolgi.msk.ru/account/1404266117/", 1404266117)</f>
        <v>1404266117</v>
      </c>
      <c r="F7834">
        <v>891.84</v>
      </c>
    </row>
    <row r="7835" spans="1:6" x14ac:dyDescent="0.25">
      <c r="A7835" t="s">
        <v>681</v>
      </c>
      <c r="B7835" t="s">
        <v>574</v>
      </c>
      <c r="C7835" s="5" t="str">
        <f t="shared" si="324"/>
        <v xml:space="preserve"> кв. 556</v>
      </c>
      <c r="D7835" s="5" t="str">
        <f>CONCATENATE(A7835,C7835)</f>
        <v>Ленинградское шоссе, дом 112 к.2 кв. 556</v>
      </c>
      <c r="E7835" s="3">
        <f>HYPERLINK("https://sao.dolgi.msk.ru/account/1404266942/", 1404266942)</f>
        <v>1404266942</v>
      </c>
      <c r="F7835">
        <v>983.69</v>
      </c>
    </row>
    <row r="7836" spans="1:6" hidden="1" x14ac:dyDescent="0.25">
      <c r="A7836" t="s">
        <v>681</v>
      </c>
      <c r="B7836" t="s">
        <v>575</v>
      </c>
      <c r="E7836" s="3">
        <f>HYPERLINK("https://sao.dolgi.msk.ru/account/1404267785/", 1404267785)</f>
        <v>1404267785</v>
      </c>
      <c r="F7836">
        <v>-2611.48</v>
      </c>
    </row>
    <row r="7837" spans="1:6" x14ac:dyDescent="0.25">
      <c r="A7837" t="s">
        <v>681</v>
      </c>
      <c r="B7837" t="s">
        <v>576</v>
      </c>
      <c r="C7837" s="5" t="str">
        <f>" кв. "&amp;B7837</f>
        <v xml:space="preserve"> кв. 558</v>
      </c>
      <c r="D7837" s="5" t="str">
        <f>CONCATENATE(A7837,C7837)</f>
        <v>Ленинградское шоссе, дом 112 к.2 кв. 558</v>
      </c>
      <c r="E7837" s="3">
        <f>HYPERLINK("https://sao.dolgi.msk.ru/account/1404264648/", 1404264648)</f>
        <v>1404264648</v>
      </c>
      <c r="F7837">
        <v>964.72</v>
      </c>
    </row>
    <row r="7838" spans="1:6" hidden="1" x14ac:dyDescent="0.25">
      <c r="A7838" t="s">
        <v>681</v>
      </c>
      <c r="B7838" t="s">
        <v>577</v>
      </c>
      <c r="E7838" s="3">
        <f>HYPERLINK("https://sao.dolgi.msk.ru/account/1404266969/", 1404266969)</f>
        <v>1404266969</v>
      </c>
      <c r="F7838">
        <v>0</v>
      </c>
    </row>
    <row r="7839" spans="1:6" hidden="1" x14ac:dyDescent="0.25">
      <c r="A7839" t="s">
        <v>681</v>
      </c>
      <c r="B7839" t="s">
        <v>578</v>
      </c>
      <c r="E7839" s="3">
        <f>HYPERLINK("https://sao.dolgi.msk.ru/account/1404265114/", 1404265114)</f>
        <v>1404265114</v>
      </c>
      <c r="F7839">
        <v>-1437.47</v>
      </c>
    </row>
    <row r="7840" spans="1:6" hidden="1" x14ac:dyDescent="0.25">
      <c r="A7840" t="s">
        <v>681</v>
      </c>
      <c r="B7840" t="s">
        <v>579</v>
      </c>
      <c r="E7840" s="3">
        <f>HYPERLINK("https://sao.dolgi.msk.ru/account/1404265667/", 1404265667)</f>
        <v>1404265667</v>
      </c>
      <c r="F7840">
        <v>-2611.48</v>
      </c>
    </row>
    <row r="7841" spans="1:6" hidden="1" x14ac:dyDescent="0.25">
      <c r="A7841" t="s">
        <v>681</v>
      </c>
      <c r="B7841" t="s">
        <v>580</v>
      </c>
      <c r="E7841" s="3">
        <f>HYPERLINK("https://sao.dolgi.msk.ru/account/1404266125/", 1404266125)</f>
        <v>1404266125</v>
      </c>
      <c r="F7841">
        <v>-1400.49</v>
      </c>
    </row>
    <row r="7842" spans="1:6" hidden="1" x14ac:dyDescent="0.25">
      <c r="A7842" t="s">
        <v>681</v>
      </c>
      <c r="B7842" t="s">
        <v>581</v>
      </c>
      <c r="E7842" s="3">
        <f>HYPERLINK("https://sao.dolgi.msk.ru/account/1404265122/", 1404265122)</f>
        <v>1404265122</v>
      </c>
      <c r="F7842">
        <v>-1936.64</v>
      </c>
    </row>
    <row r="7843" spans="1:6" hidden="1" x14ac:dyDescent="0.25">
      <c r="A7843" t="s">
        <v>681</v>
      </c>
      <c r="B7843" t="s">
        <v>582</v>
      </c>
      <c r="E7843" s="3">
        <f>HYPERLINK("https://sao.dolgi.msk.ru/account/1404265149/", 1404265149)</f>
        <v>1404265149</v>
      </c>
      <c r="F7843">
        <v>-455.22</v>
      </c>
    </row>
    <row r="7844" spans="1:6" hidden="1" x14ac:dyDescent="0.25">
      <c r="A7844" t="s">
        <v>681</v>
      </c>
      <c r="B7844" t="s">
        <v>583</v>
      </c>
      <c r="E7844" s="3">
        <f>HYPERLINK("https://sao.dolgi.msk.ru/account/1404266133/", 1404266133)</f>
        <v>1404266133</v>
      </c>
      <c r="F7844">
        <v>-2620.7199999999998</v>
      </c>
    </row>
    <row r="7845" spans="1:6" hidden="1" x14ac:dyDescent="0.25">
      <c r="A7845" t="s">
        <v>681</v>
      </c>
      <c r="B7845" t="s">
        <v>584</v>
      </c>
      <c r="E7845" s="3">
        <f>HYPERLINK("https://sao.dolgi.msk.ru/account/1404267339/", 1404267339)</f>
        <v>1404267339</v>
      </c>
      <c r="F7845">
        <v>0</v>
      </c>
    </row>
    <row r="7846" spans="1:6" hidden="1" x14ac:dyDescent="0.25">
      <c r="A7846" t="s">
        <v>681</v>
      </c>
      <c r="B7846" t="s">
        <v>585</v>
      </c>
      <c r="E7846" s="3">
        <f>HYPERLINK("https://sao.dolgi.msk.ru/account/1404264656/", 1404264656)</f>
        <v>1404264656</v>
      </c>
      <c r="F7846">
        <v>0</v>
      </c>
    </row>
    <row r="7847" spans="1:6" x14ac:dyDescent="0.25">
      <c r="A7847" t="s">
        <v>681</v>
      </c>
      <c r="B7847" t="s">
        <v>586</v>
      </c>
      <c r="C7847" s="5" t="str">
        <f>" кв. "&amp;B7847</f>
        <v xml:space="preserve"> кв. 568</v>
      </c>
      <c r="D7847" s="5" t="str">
        <f>CONCATENATE(A7847,C7847)</f>
        <v>Ленинградское шоссе, дом 112 к.2 кв. 568</v>
      </c>
      <c r="E7847" s="3">
        <f>HYPERLINK("https://sao.dolgi.msk.ru/account/1404265675/", 1404265675)</f>
        <v>1404265675</v>
      </c>
      <c r="F7847">
        <v>1002.67</v>
      </c>
    </row>
    <row r="7848" spans="1:6" hidden="1" x14ac:dyDescent="0.25">
      <c r="A7848" t="s">
        <v>682</v>
      </c>
      <c r="B7848" t="s">
        <v>5</v>
      </c>
      <c r="E7848" s="3">
        <f>HYPERLINK("https://sao.dolgi.msk.ru/account/1404270503/", 1404270503)</f>
        <v>1404270503</v>
      </c>
      <c r="F7848">
        <v>-1409.41</v>
      </c>
    </row>
    <row r="7849" spans="1:6" x14ac:dyDescent="0.25">
      <c r="A7849" t="s">
        <v>682</v>
      </c>
      <c r="B7849" t="s">
        <v>6</v>
      </c>
      <c r="C7849" s="5" t="str">
        <f t="shared" ref="C7849:C7851" si="325">" кв. "&amp;B7849</f>
        <v xml:space="preserve"> кв. 2</v>
      </c>
      <c r="D7849" s="5" t="str">
        <f>CONCATENATE(A7849,C7849)</f>
        <v>Ленинградское шоссе, дом 112/1 к.1 кв. 2</v>
      </c>
      <c r="E7849" s="3">
        <f>HYPERLINK("https://sao.dolgi.msk.ru/account/1404267988/", 1404267988)</f>
        <v>1404267988</v>
      </c>
      <c r="F7849">
        <v>553.85</v>
      </c>
    </row>
    <row r="7850" spans="1:6" x14ac:dyDescent="0.25">
      <c r="A7850" t="s">
        <v>682</v>
      </c>
      <c r="B7850" t="s">
        <v>7</v>
      </c>
      <c r="C7850" s="5" t="str">
        <f t="shared" si="325"/>
        <v xml:space="preserve"> кв. 3</v>
      </c>
      <c r="D7850" s="5" t="str">
        <f>CONCATENATE(A7850,C7850)</f>
        <v>Ленинградское шоссе, дом 112/1 к.1 кв. 3</v>
      </c>
      <c r="E7850" s="3">
        <f>HYPERLINK("https://sao.dolgi.msk.ru/account/1404270706/", 1404270706)</f>
        <v>1404270706</v>
      </c>
      <c r="F7850">
        <v>781.75</v>
      </c>
    </row>
    <row r="7851" spans="1:6" x14ac:dyDescent="0.25">
      <c r="A7851" t="s">
        <v>682</v>
      </c>
      <c r="B7851" t="s">
        <v>8</v>
      </c>
      <c r="C7851" s="5" t="str">
        <f t="shared" si="325"/>
        <v xml:space="preserve"> кв. 4</v>
      </c>
      <c r="D7851" s="5" t="str">
        <f>CONCATENATE(A7851,C7851)</f>
        <v>Ленинградское шоссе, дом 112/1 к.1 кв. 4</v>
      </c>
      <c r="E7851" s="3">
        <f>HYPERLINK("https://sao.dolgi.msk.ru/account/1404270677/", 1404270677)</f>
        <v>1404270677</v>
      </c>
      <c r="F7851">
        <v>1497.25</v>
      </c>
    </row>
    <row r="7852" spans="1:6" hidden="1" x14ac:dyDescent="0.25">
      <c r="A7852" t="s">
        <v>682</v>
      </c>
      <c r="B7852" t="s">
        <v>9</v>
      </c>
      <c r="E7852" s="3">
        <f>HYPERLINK("https://sao.dolgi.msk.ru/account/1404270175/", 1404270175)</f>
        <v>1404270175</v>
      </c>
      <c r="F7852">
        <v>-818.11</v>
      </c>
    </row>
    <row r="7853" spans="1:6" x14ac:dyDescent="0.25">
      <c r="A7853" t="s">
        <v>682</v>
      </c>
      <c r="B7853" t="s">
        <v>10</v>
      </c>
      <c r="C7853" s="5" t="str">
        <f>" кв. "&amp;B7853</f>
        <v xml:space="preserve"> кв. 6</v>
      </c>
      <c r="D7853" s="5" t="str">
        <f>CONCATENATE(A7853,C7853)</f>
        <v>Ленинградское шоссе, дом 112/1 к.1 кв. 6</v>
      </c>
      <c r="E7853" s="3">
        <f>HYPERLINK("https://sao.dolgi.msk.ru/account/1404269027/", 1404269027)</f>
        <v>1404269027</v>
      </c>
      <c r="F7853">
        <v>1198.78</v>
      </c>
    </row>
    <row r="7854" spans="1:6" hidden="1" x14ac:dyDescent="0.25">
      <c r="A7854" t="s">
        <v>682</v>
      </c>
      <c r="B7854" t="s">
        <v>11</v>
      </c>
      <c r="E7854" s="3">
        <f>HYPERLINK("https://sao.dolgi.msk.ru/account/1404268614/", 1404268614)</f>
        <v>1404268614</v>
      </c>
      <c r="F7854">
        <v>-2591.37</v>
      </c>
    </row>
    <row r="7855" spans="1:6" x14ac:dyDescent="0.25">
      <c r="A7855" t="s">
        <v>682</v>
      </c>
      <c r="B7855" t="s">
        <v>12</v>
      </c>
      <c r="C7855" s="5" t="str">
        <f t="shared" ref="C7855:C7856" si="326">" кв. "&amp;B7855</f>
        <v xml:space="preserve"> кв. 8</v>
      </c>
      <c r="D7855" s="5" t="str">
        <f>CONCATENATE(A7855,C7855)</f>
        <v>Ленинградское шоссе, дом 112/1 к.1 кв. 8</v>
      </c>
      <c r="E7855" s="3">
        <f>HYPERLINK("https://sao.dolgi.msk.ru/account/1404271397/", 1404271397)</f>
        <v>1404271397</v>
      </c>
      <c r="F7855">
        <v>1676.39</v>
      </c>
    </row>
    <row r="7856" spans="1:6" x14ac:dyDescent="0.25">
      <c r="A7856" t="s">
        <v>682</v>
      </c>
      <c r="B7856" t="s">
        <v>13</v>
      </c>
      <c r="C7856" s="5" t="str">
        <f t="shared" si="326"/>
        <v xml:space="preserve"> кв. 9</v>
      </c>
      <c r="D7856" s="5" t="str">
        <f>CONCATENATE(A7856,C7856)</f>
        <v>Ленинградское шоссе, дом 112/1 к.1 кв. 9</v>
      </c>
      <c r="E7856" s="3">
        <f>HYPERLINK("https://sao.dolgi.msk.ru/account/1404270036/", 1404270036)</f>
        <v>1404270036</v>
      </c>
      <c r="F7856">
        <v>1084.9100000000001</v>
      </c>
    </row>
    <row r="7857" spans="1:6" hidden="1" x14ac:dyDescent="0.25">
      <c r="A7857" t="s">
        <v>682</v>
      </c>
      <c r="B7857" t="s">
        <v>14</v>
      </c>
      <c r="E7857" s="3">
        <f>HYPERLINK("https://sao.dolgi.msk.ru/account/1404270511/", 1404270511)</f>
        <v>1404270511</v>
      </c>
      <c r="F7857">
        <v>-1747.13</v>
      </c>
    </row>
    <row r="7858" spans="1:6" x14ac:dyDescent="0.25">
      <c r="A7858" t="s">
        <v>682</v>
      </c>
      <c r="B7858" t="s">
        <v>15</v>
      </c>
      <c r="C7858" s="5" t="str">
        <f>" кв. "&amp;B7858</f>
        <v xml:space="preserve"> кв. 11</v>
      </c>
      <c r="D7858" s="5" t="str">
        <f>CONCATENATE(A7858,C7858)</f>
        <v>Ленинградское шоссе, дом 112/1 к.1 кв. 11</v>
      </c>
      <c r="E7858" s="3">
        <f>HYPERLINK("https://sao.dolgi.msk.ru/account/1404269596/", 1404269596)</f>
        <v>1404269596</v>
      </c>
      <c r="F7858">
        <v>942.57</v>
      </c>
    </row>
    <row r="7859" spans="1:6" hidden="1" x14ac:dyDescent="0.25">
      <c r="A7859" t="s">
        <v>682</v>
      </c>
      <c r="B7859" t="s">
        <v>16</v>
      </c>
      <c r="E7859" s="3">
        <f>HYPERLINK("https://sao.dolgi.msk.ru/account/1404268059/", 1404268059)</f>
        <v>1404268059</v>
      </c>
      <c r="F7859">
        <v>0</v>
      </c>
    </row>
    <row r="7860" spans="1:6" hidden="1" x14ac:dyDescent="0.25">
      <c r="A7860" t="s">
        <v>682</v>
      </c>
      <c r="B7860" t="s">
        <v>17</v>
      </c>
      <c r="E7860" s="3">
        <f>HYPERLINK("https://sao.dolgi.msk.ru/account/1404269377/", 1404269377)</f>
        <v>1404269377</v>
      </c>
      <c r="F7860">
        <v>-809.35</v>
      </c>
    </row>
    <row r="7861" spans="1:6" hidden="1" x14ac:dyDescent="0.25">
      <c r="A7861" t="s">
        <v>682</v>
      </c>
      <c r="B7861" t="s">
        <v>18</v>
      </c>
      <c r="E7861" s="3">
        <f>HYPERLINK("https://sao.dolgi.msk.ru/account/1404268083/", 1404268083)</f>
        <v>1404268083</v>
      </c>
      <c r="F7861">
        <v>-1467.47</v>
      </c>
    </row>
    <row r="7862" spans="1:6" x14ac:dyDescent="0.25">
      <c r="A7862" t="s">
        <v>682</v>
      </c>
      <c r="B7862" t="s">
        <v>19</v>
      </c>
      <c r="C7862" s="5" t="str">
        <f>" кв. "&amp;B7862</f>
        <v xml:space="preserve"> кв. 15</v>
      </c>
      <c r="D7862" s="5" t="str">
        <f>CONCATENATE(A7862,C7862)</f>
        <v>Ленинградское шоссе, дом 112/1 к.1 кв. 15</v>
      </c>
      <c r="E7862" s="3">
        <f>HYPERLINK("https://sao.dolgi.msk.ru/account/1404270319/", 1404270319)</f>
        <v>1404270319</v>
      </c>
      <c r="F7862">
        <v>933.09</v>
      </c>
    </row>
    <row r="7863" spans="1:6" hidden="1" x14ac:dyDescent="0.25">
      <c r="A7863" t="s">
        <v>682</v>
      </c>
      <c r="B7863" t="s">
        <v>20</v>
      </c>
      <c r="E7863" s="3">
        <f>HYPERLINK("https://sao.dolgi.msk.ru/account/1404270343/", 1404270343)</f>
        <v>1404270343</v>
      </c>
      <c r="F7863">
        <v>-2657.69</v>
      </c>
    </row>
    <row r="7864" spans="1:6" hidden="1" x14ac:dyDescent="0.25">
      <c r="A7864" t="s">
        <v>682</v>
      </c>
      <c r="B7864" t="s">
        <v>21</v>
      </c>
      <c r="E7864" s="3">
        <f>HYPERLINK("https://sao.dolgi.msk.ru/account/1404271346/", 1404271346)</f>
        <v>1404271346</v>
      </c>
      <c r="F7864">
        <v>0</v>
      </c>
    </row>
    <row r="7865" spans="1:6" hidden="1" x14ac:dyDescent="0.25">
      <c r="A7865" t="s">
        <v>682</v>
      </c>
      <c r="B7865" t="s">
        <v>22</v>
      </c>
      <c r="E7865" s="3">
        <f>HYPERLINK("https://sao.dolgi.msk.ru/account/1404269174/", 1404269174)</f>
        <v>1404269174</v>
      </c>
      <c r="F7865">
        <v>-1751.76</v>
      </c>
    </row>
    <row r="7866" spans="1:6" hidden="1" x14ac:dyDescent="0.25">
      <c r="A7866" t="s">
        <v>682</v>
      </c>
      <c r="B7866" t="s">
        <v>23</v>
      </c>
      <c r="E7866" s="3">
        <f>HYPERLINK("https://sao.dolgi.msk.ru/account/1404269748/", 1404269748)</f>
        <v>1404269748</v>
      </c>
      <c r="F7866">
        <v>-1395.87</v>
      </c>
    </row>
    <row r="7867" spans="1:6" hidden="1" x14ac:dyDescent="0.25">
      <c r="A7867" t="s">
        <v>682</v>
      </c>
      <c r="B7867" t="s">
        <v>24</v>
      </c>
      <c r="E7867" s="3">
        <f>HYPERLINK("https://sao.dolgi.msk.ru/account/1404268323/", 1404268323)</f>
        <v>1404268323</v>
      </c>
      <c r="F7867">
        <v>-2666.93</v>
      </c>
    </row>
    <row r="7868" spans="1:6" hidden="1" x14ac:dyDescent="0.25">
      <c r="A7868" t="s">
        <v>682</v>
      </c>
      <c r="B7868" t="s">
        <v>25</v>
      </c>
      <c r="E7868" s="3">
        <f>HYPERLINK("https://sao.dolgi.msk.ru/account/1404270589/", 1404270589)</f>
        <v>1404270589</v>
      </c>
      <c r="F7868">
        <v>-1589.99</v>
      </c>
    </row>
    <row r="7869" spans="1:6" hidden="1" x14ac:dyDescent="0.25">
      <c r="A7869" t="s">
        <v>682</v>
      </c>
      <c r="B7869" t="s">
        <v>26</v>
      </c>
      <c r="E7869" s="3">
        <f>HYPERLINK("https://sao.dolgi.msk.ru/account/1404270546/", 1404270546)</f>
        <v>1404270546</v>
      </c>
      <c r="F7869">
        <v>-1719.42</v>
      </c>
    </row>
    <row r="7870" spans="1:6" x14ac:dyDescent="0.25">
      <c r="A7870" t="s">
        <v>682</v>
      </c>
      <c r="B7870" t="s">
        <v>27</v>
      </c>
      <c r="C7870" s="5" t="str">
        <f>" кв. "&amp;B7870</f>
        <v xml:space="preserve"> кв. 23</v>
      </c>
      <c r="D7870" s="5" t="str">
        <f>CONCATENATE(A7870,C7870)</f>
        <v>Ленинградское шоссе, дом 112/1 к.1 кв. 23</v>
      </c>
      <c r="E7870" s="3">
        <f>HYPERLINK("https://sao.dolgi.msk.ru/account/1404268497/", 1404268497)</f>
        <v>1404268497</v>
      </c>
      <c r="F7870">
        <v>936.25</v>
      </c>
    </row>
    <row r="7871" spans="1:6" hidden="1" x14ac:dyDescent="0.25">
      <c r="A7871" t="s">
        <v>682</v>
      </c>
      <c r="B7871" t="s">
        <v>28</v>
      </c>
      <c r="E7871" s="3">
        <f>HYPERLINK("https://sao.dolgi.msk.ru/account/1404269473/", 1404269473)</f>
        <v>1404269473</v>
      </c>
      <c r="F7871">
        <v>0</v>
      </c>
    </row>
    <row r="7872" spans="1:6" x14ac:dyDescent="0.25">
      <c r="A7872" t="s">
        <v>682</v>
      </c>
      <c r="B7872" t="s">
        <v>29</v>
      </c>
      <c r="C7872" s="5" t="str">
        <f t="shared" ref="C7872:C7873" si="327">" кв. "&amp;B7872</f>
        <v xml:space="preserve"> кв. 25</v>
      </c>
      <c r="D7872" s="5" t="str">
        <f>CONCATENATE(A7872,C7872)</f>
        <v>Ленинградское шоссе, дом 112/1 к.1 кв. 25</v>
      </c>
      <c r="E7872" s="3">
        <f>HYPERLINK("https://sao.dolgi.msk.ru/account/1404268964/", 1404268964)</f>
        <v>1404268964</v>
      </c>
      <c r="F7872">
        <v>1069.0899999999999</v>
      </c>
    </row>
    <row r="7873" spans="1:6" x14ac:dyDescent="0.25">
      <c r="A7873" t="s">
        <v>682</v>
      </c>
      <c r="B7873" t="s">
        <v>30</v>
      </c>
      <c r="C7873" s="5" t="str">
        <f t="shared" si="327"/>
        <v xml:space="preserve"> кв. 26</v>
      </c>
      <c r="D7873" s="5" t="str">
        <f>CONCATENATE(A7873,C7873)</f>
        <v>Ленинградское шоссе, дом 112/1 к.1 кв. 26</v>
      </c>
      <c r="E7873" s="3">
        <f>HYPERLINK("https://sao.dolgi.msk.ru/account/1404271303/", 1404271303)</f>
        <v>1404271303</v>
      </c>
      <c r="F7873">
        <v>1192.45</v>
      </c>
    </row>
    <row r="7874" spans="1:6" hidden="1" x14ac:dyDescent="0.25">
      <c r="A7874" t="s">
        <v>682</v>
      </c>
      <c r="B7874" t="s">
        <v>31</v>
      </c>
      <c r="E7874" s="3">
        <f>HYPERLINK("https://sao.dolgi.msk.ru/account/1404271194/", 1404271194)</f>
        <v>1404271194</v>
      </c>
      <c r="F7874">
        <v>0</v>
      </c>
    </row>
    <row r="7875" spans="1:6" x14ac:dyDescent="0.25">
      <c r="A7875" t="s">
        <v>682</v>
      </c>
      <c r="B7875" t="s">
        <v>32</v>
      </c>
      <c r="C7875" s="5" t="str">
        <f>" кв. "&amp;B7875</f>
        <v xml:space="preserve"> кв. 28</v>
      </c>
      <c r="D7875" s="5" t="str">
        <f>CONCATENATE(A7875,C7875)</f>
        <v>Ленинградское шоссе, дом 112/1 к.1 кв. 28</v>
      </c>
      <c r="E7875" s="3">
        <f>HYPERLINK("https://sao.dolgi.msk.ru/account/1404268833/", 1404268833)</f>
        <v>1404268833</v>
      </c>
      <c r="F7875">
        <v>1340.33</v>
      </c>
    </row>
    <row r="7876" spans="1:6" hidden="1" x14ac:dyDescent="0.25">
      <c r="A7876" t="s">
        <v>682</v>
      </c>
      <c r="B7876" t="s">
        <v>33</v>
      </c>
      <c r="E7876" s="3">
        <f>HYPERLINK("https://sao.dolgi.msk.ru/account/1404269772/", 1404269772)</f>
        <v>1404269772</v>
      </c>
      <c r="F7876">
        <v>-1566.88</v>
      </c>
    </row>
    <row r="7877" spans="1:6" hidden="1" x14ac:dyDescent="0.25">
      <c r="A7877" t="s">
        <v>682</v>
      </c>
      <c r="B7877" t="s">
        <v>34</v>
      </c>
      <c r="E7877" s="3">
        <f>HYPERLINK("https://sao.dolgi.msk.ru/account/1404269764/", 1404269764)</f>
        <v>1404269764</v>
      </c>
      <c r="F7877">
        <v>-1587.98</v>
      </c>
    </row>
    <row r="7878" spans="1:6" hidden="1" x14ac:dyDescent="0.25">
      <c r="A7878" t="s">
        <v>682</v>
      </c>
      <c r="B7878" t="s">
        <v>35</v>
      </c>
      <c r="E7878" s="3">
        <f>HYPERLINK("https://sao.dolgi.msk.ru/account/1404268024/", 1404268024)</f>
        <v>1404268024</v>
      </c>
      <c r="F7878">
        <v>-1377.37</v>
      </c>
    </row>
    <row r="7879" spans="1:6" x14ac:dyDescent="0.25">
      <c r="A7879" t="s">
        <v>682</v>
      </c>
      <c r="B7879" t="s">
        <v>36</v>
      </c>
      <c r="C7879" s="5" t="str">
        <f t="shared" ref="C7879:C7880" si="328">" кв. "&amp;B7879</f>
        <v xml:space="preserve"> кв. 32</v>
      </c>
      <c r="D7879" s="5" t="str">
        <f>CONCATENATE(A7879,C7879)</f>
        <v>Ленинградское шоссе, дом 112/1 к.1 кв. 32</v>
      </c>
      <c r="E7879" s="3">
        <f>HYPERLINK("https://sao.dolgi.msk.ru/account/1404268761/", 1404268761)</f>
        <v>1404268761</v>
      </c>
      <c r="F7879">
        <v>1790.26</v>
      </c>
    </row>
    <row r="7880" spans="1:6" x14ac:dyDescent="0.25">
      <c r="A7880" t="s">
        <v>682</v>
      </c>
      <c r="B7880" t="s">
        <v>37</v>
      </c>
      <c r="C7880" s="5" t="str">
        <f t="shared" si="328"/>
        <v xml:space="preserve"> кв. 33</v>
      </c>
      <c r="D7880" s="5" t="str">
        <f>CONCATENATE(A7880,C7880)</f>
        <v>Ленинградское шоссе, дом 112/1 к.1 кв. 33</v>
      </c>
      <c r="E7880" s="3">
        <f>HYPERLINK("https://sao.dolgi.msk.ru/account/1404268788/", 1404268788)</f>
        <v>1404268788</v>
      </c>
      <c r="F7880">
        <v>1075.42</v>
      </c>
    </row>
    <row r="7881" spans="1:6" hidden="1" x14ac:dyDescent="0.25">
      <c r="A7881" t="s">
        <v>682</v>
      </c>
      <c r="B7881" t="s">
        <v>38</v>
      </c>
      <c r="E7881" s="3">
        <f>HYPERLINK("https://sao.dolgi.msk.ru/account/1404271151/", 1404271151)</f>
        <v>1404271151</v>
      </c>
      <c r="F7881">
        <v>-1733.29</v>
      </c>
    </row>
    <row r="7882" spans="1:6" x14ac:dyDescent="0.25">
      <c r="A7882" t="s">
        <v>682</v>
      </c>
      <c r="B7882" t="s">
        <v>39</v>
      </c>
      <c r="C7882" s="5" t="str">
        <f>" кв. "&amp;B7882</f>
        <v xml:space="preserve"> кв. 35</v>
      </c>
      <c r="D7882" s="5" t="str">
        <f>CONCATENATE(A7882,C7882)</f>
        <v>Ленинградское шоссе, дом 112/1 к.1 кв. 35</v>
      </c>
      <c r="E7882" s="3">
        <f>HYPERLINK("https://sao.dolgi.msk.ru/account/1404271178/", 1404271178)</f>
        <v>1404271178</v>
      </c>
      <c r="F7882">
        <v>948.9</v>
      </c>
    </row>
    <row r="7883" spans="1:6" hidden="1" x14ac:dyDescent="0.25">
      <c r="A7883" t="s">
        <v>682</v>
      </c>
      <c r="B7883" t="s">
        <v>40</v>
      </c>
      <c r="E7883" s="3">
        <f>HYPERLINK("https://sao.dolgi.msk.ru/account/1404270669/", 1404270669)</f>
        <v>1404270669</v>
      </c>
      <c r="F7883">
        <v>-1715.75</v>
      </c>
    </row>
    <row r="7884" spans="1:6" hidden="1" x14ac:dyDescent="0.25">
      <c r="A7884" t="s">
        <v>682</v>
      </c>
      <c r="B7884" t="s">
        <v>41</v>
      </c>
      <c r="E7884" s="3">
        <f>HYPERLINK("https://sao.dolgi.msk.ru/account/1404268796/", 1404268796)</f>
        <v>1404268796</v>
      </c>
      <c r="F7884">
        <v>-1647.75</v>
      </c>
    </row>
    <row r="7885" spans="1:6" hidden="1" x14ac:dyDescent="0.25">
      <c r="A7885" t="s">
        <v>682</v>
      </c>
      <c r="B7885" t="s">
        <v>42</v>
      </c>
      <c r="E7885" s="3">
        <f>HYPERLINK("https://sao.dolgi.msk.ru/account/1404270183/", 1404270183)</f>
        <v>1404270183</v>
      </c>
      <c r="F7885">
        <v>-904.44</v>
      </c>
    </row>
    <row r="7886" spans="1:6" hidden="1" x14ac:dyDescent="0.25">
      <c r="A7886" t="s">
        <v>682</v>
      </c>
      <c r="B7886" t="s">
        <v>43</v>
      </c>
      <c r="E7886" s="3">
        <f>HYPERLINK("https://sao.dolgi.msk.ru/account/1404269246/", 1404269246)</f>
        <v>1404269246</v>
      </c>
      <c r="F7886">
        <v>-608.14</v>
      </c>
    </row>
    <row r="7887" spans="1:6" hidden="1" x14ac:dyDescent="0.25">
      <c r="A7887" t="s">
        <v>682</v>
      </c>
      <c r="B7887" t="s">
        <v>44</v>
      </c>
      <c r="E7887" s="3">
        <f>HYPERLINK("https://sao.dolgi.msk.ru/account/1404268032/", 1404268032)</f>
        <v>1404268032</v>
      </c>
      <c r="F7887">
        <v>-1889.17</v>
      </c>
    </row>
    <row r="7888" spans="1:6" hidden="1" x14ac:dyDescent="0.25">
      <c r="A7888" t="s">
        <v>682</v>
      </c>
      <c r="B7888" t="s">
        <v>45</v>
      </c>
      <c r="E7888" s="3">
        <f>HYPERLINK("https://sao.dolgi.msk.ru/account/1404268366/", 1404268366)</f>
        <v>1404268366</v>
      </c>
      <c r="F7888">
        <v>-2281</v>
      </c>
    </row>
    <row r="7889" spans="1:6" hidden="1" x14ac:dyDescent="0.25">
      <c r="A7889" t="s">
        <v>682</v>
      </c>
      <c r="B7889" t="s">
        <v>46</v>
      </c>
      <c r="E7889" s="3">
        <f>HYPERLINK("https://sao.dolgi.msk.ru/account/1404271143/", 1404271143)</f>
        <v>1404271143</v>
      </c>
      <c r="F7889">
        <v>-1371.94</v>
      </c>
    </row>
    <row r="7890" spans="1:6" hidden="1" x14ac:dyDescent="0.25">
      <c r="A7890" t="s">
        <v>682</v>
      </c>
      <c r="B7890" t="s">
        <v>47</v>
      </c>
      <c r="E7890" s="3">
        <f>HYPERLINK("https://sao.dolgi.msk.ru/account/1404270159/", 1404270159)</f>
        <v>1404270159</v>
      </c>
      <c r="F7890">
        <v>-1358.88</v>
      </c>
    </row>
    <row r="7891" spans="1:6" hidden="1" x14ac:dyDescent="0.25">
      <c r="A7891" t="s">
        <v>682</v>
      </c>
      <c r="B7891" t="s">
        <v>48</v>
      </c>
      <c r="E7891" s="3">
        <f>HYPERLINK("https://sao.dolgi.msk.ru/account/1404268737/", 1404268737)</f>
        <v>1404268737</v>
      </c>
      <c r="F7891">
        <v>-2625.34</v>
      </c>
    </row>
    <row r="7892" spans="1:6" hidden="1" x14ac:dyDescent="0.25">
      <c r="A7892" t="s">
        <v>682</v>
      </c>
      <c r="B7892" t="s">
        <v>49</v>
      </c>
      <c r="E7892" s="3">
        <f>HYPERLINK("https://sao.dolgi.msk.ru/account/1404268374/", 1404268374)</f>
        <v>1404268374</v>
      </c>
      <c r="F7892">
        <v>0</v>
      </c>
    </row>
    <row r="7893" spans="1:6" hidden="1" x14ac:dyDescent="0.25">
      <c r="A7893" t="s">
        <v>682</v>
      </c>
      <c r="B7893" t="s">
        <v>50</v>
      </c>
      <c r="E7893" s="3">
        <f>HYPERLINK("https://sao.dolgi.msk.ru/account/1404268745/", 1404268745)</f>
        <v>1404268745</v>
      </c>
      <c r="F7893">
        <v>0</v>
      </c>
    </row>
    <row r="7894" spans="1:6" hidden="1" x14ac:dyDescent="0.25">
      <c r="A7894" t="s">
        <v>682</v>
      </c>
      <c r="B7894" t="s">
        <v>51</v>
      </c>
      <c r="E7894" s="3">
        <f>HYPERLINK("https://sao.dolgi.msk.ru/account/1404268008/", 1404268008)</f>
        <v>1404268008</v>
      </c>
      <c r="F7894">
        <v>-933.09</v>
      </c>
    </row>
    <row r="7895" spans="1:6" hidden="1" x14ac:dyDescent="0.25">
      <c r="A7895" t="s">
        <v>682</v>
      </c>
      <c r="B7895" t="s">
        <v>52</v>
      </c>
      <c r="E7895" s="3">
        <f>HYPERLINK("https://sao.dolgi.msk.ru/account/1404268753/", 1404268753)</f>
        <v>1404268753</v>
      </c>
      <c r="F7895">
        <v>-1486.31</v>
      </c>
    </row>
    <row r="7896" spans="1:6" hidden="1" x14ac:dyDescent="0.25">
      <c r="A7896" t="s">
        <v>682</v>
      </c>
      <c r="B7896" t="s">
        <v>53</v>
      </c>
      <c r="E7896" s="3">
        <f>HYPERLINK("https://sao.dolgi.msk.ru/account/1404270167/", 1404270167)</f>
        <v>1404270167</v>
      </c>
      <c r="F7896">
        <v>-1685.18</v>
      </c>
    </row>
    <row r="7897" spans="1:6" x14ac:dyDescent="0.25">
      <c r="A7897" t="s">
        <v>682</v>
      </c>
      <c r="B7897" t="s">
        <v>54</v>
      </c>
      <c r="C7897" s="5" t="str">
        <f t="shared" ref="C7897:C7898" si="329">" кв. "&amp;B7897</f>
        <v xml:space="preserve"> кв. 50</v>
      </c>
      <c r="D7897" s="5" t="str">
        <f>CONCATENATE(A7897,C7897)</f>
        <v>Ленинградское шоссе, дом 112/1 к.1 кв. 50</v>
      </c>
      <c r="E7897" s="3">
        <f>HYPERLINK("https://sao.dolgi.msk.ru/account/1404268016/", 1404268016)</f>
        <v>1404268016</v>
      </c>
      <c r="F7897">
        <v>1281.02</v>
      </c>
    </row>
    <row r="7898" spans="1:6" x14ac:dyDescent="0.25">
      <c r="A7898" t="s">
        <v>682</v>
      </c>
      <c r="B7898" t="s">
        <v>55</v>
      </c>
      <c r="C7898" s="5" t="str">
        <f t="shared" si="329"/>
        <v xml:space="preserve"> кв. 51</v>
      </c>
      <c r="D7898" s="5" t="str">
        <f>CONCATENATE(A7898,C7898)</f>
        <v>Ленинградское шоссе, дом 112/1 к.1 кв. 51</v>
      </c>
      <c r="E7898" s="3">
        <f>HYPERLINK("https://sao.dolgi.msk.ru/account/1404270642/", 1404270642)</f>
        <v>1404270642</v>
      </c>
      <c r="F7898">
        <v>474.45</v>
      </c>
    </row>
    <row r="7899" spans="1:6" hidden="1" x14ac:dyDescent="0.25">
      <c r="A7899" t="s">
        <v>682</v>
      </c>
      <c r="B7899" t="s">
        <v>56</v>
      </c>
      <c r="E7899" s="3">
        <f>HYPERLINK("https://sao.dolgi.msk.ru/account/1404269238/", 1404269238)</f>
        <v>1404269238</v>
      </c>
      <c r="F7899">
        <v>-2629.95</v>
      </c>
    </row>
    <row r="7900" spans="1:6" hidden="1" x14ac:dyDescent="0.25">
      <c r="A7900" t="s">
        <v>682</v>
      </c>
      <c r="B7900" t="s">
        <v>57</v>
      </c>
      <c r="E7900" s="3">
        <f>HYPERLINK("https://sao.dolgi.msk.ru/account/1404269916/", 1404269916)</f>
        <v>1404269916</v>
      </c>
      <c r="F7900">
        <v>-1858.08</v>
      </c>
    </row>
    <row r="7901" spans="1:6" hidden="1" x14ac:dyDescent="0.25">
      <c r="A7901" t="s">
        <v>682</v>
      </c>
      <c r="B7901" t="s">
        <v>58</v>
      </c>
      <c r="E7901" s="3">
        <f>HYPERLINK("https://sao.dolgi.msk.ru/account/1404269924/", 1404269924)</f>
        <v>1404269924</v>
      </c>
      <c r="F7901">
        <v>0</v>
      </c>
    </row>
    <row r="7902" spans="1:6" hidden="1" x14ac:dyDescent="0.25">
      <c r="A7902" t="s">
        <v>682</v>
      </c>
      <c r="B7902" t="s">
        <v>59</v>
      </c>
      <c r="E7902" s="3">
        <f>HYPERLINK("https://sao.dolgi.msk.ru/account/1404270431/", 1404270431)</f>
        <v>1404270431</v>
      </c>
      <c r="F7902">
        <v>-1382</v>
      </c>
    </row>
    <row r="7903" spans="1:6" hidden="1" x14ac:dyDescent="0.25">
      <c r="A7903" t="s">
        <v>682</v>
      </c>
      <c r="B7903" t="s">
        <v>60</v>
      </c>
      <c r="E7903" s="3">
        <f>HYPERLINK("https://sao.dolgi.msk.ru/account/1404268569/", 1404268569)</f>
        <v>1404268569</v>
      </c>
      <c r="F7903">
        <v>0</v>
      </c>
    </row>
    <row r="7904" spans="1:6" x14ac:dyDescent="0.25">
      <c r="A7904" t="s">
        <v>682</v>
      </c>
      <c r="B7904" t="s">
        <v>61</v>
      </c>
      <c r="C7904" s="5" t="str">
        <f t="shared" ref="C7904:C7906" si="330">" кв. "&amp;B7904</f>
        <v xml:space="preserve"> кв. 57</v>
      </c>
      <c r="D7904" s="5" t="str">
        <f>CONCATENATE(A7904,C7904)</f>
        <v>Ленинградское шоссе, дом 112/1 к.1 кв. 57</v>
      </c>
      <c r="E7904" s="3">
        <f>HYPERLINK("https://sao.dolgi.msk.ru/account/1404268147/", 1404268147)</f>
        <v>1404268147</v>
      </c>
      <c r="F7904">
        <v>1799.75</v>
      </c>
    </row>
    <row r="7905" spans="1:6" x14ac:dyDescent="0.25">
      <c r="A7905" t="s">
        <v>682</v>
      </c>
      <c r="B7905" t="s">
        <v>62</v>
      </c>
      <c r="C7905" s="5" t="str">
        <f t="shared" si="330"/>
        <v xml:space="preserve"> кв. 58</v>
      </c>
      <c r="D7905" s="5" t="str">
        <f>CONCATENATE(A7905,C7905)</f>
        <v>Ленинградское шоссе, дом 112/1 к.1 кв. 58</v>
      </c>
      <c r="E7905" s="3">
        <f>HYPERLINK("https://sao.dolgi.msk.ru/account/1404269537/", 1404269537)</f>
        <v>1404269537</v>
      </c>
      <c r="F7905">
        <v>1293.67</v>
      </c>
    </row>
    <row r="7906" spans="1:6" x14ac:dyDescent="0.25">
      <c r="A7906" t="s">
        <v>682</v>
      </c>
      <c r="B7906" t="s">
        <v>63</v>
      </c>
      <c r="C7906" s="5" t="str">
        <f t="shared" si="330"/>
        <v xml:space="preserve"> кв. 59</v>
      </c>
      <c r="D7906" s="5" t="str">
        <f>CONCATENATE(A7906,C7906)</f>
        <v>Ленинградское шоссе, дом 112/1 к.1 кв. 59</v>
      </c>
      <c r="E7906" s="3">
        <f>HYPERLINK("https://sao.dolgi.msk.ru/account/1404268577/", 1404268577)</f>
        <v>1404268577</v>
      </c>
      <c r="F7906">
        <v>929.92</v>
      </c>
    </row>
    <row r="7907" spans="1:6" hidden="1" x14ac:dyDescent="0.25">
      <c r="A7907" t="s">
        <v>682</v>
      </c>
      <c r="B7907" t="s">
        <v>64</v>
      </c>
      <c r="E7907" s="3">
        <f>HYPERLINK("https://sao.dolgi.msk.ru/account/1404269932/", 1404269932)</f>
        <v>1404269932</v>
      </c>
      <c r="F7907">
        <v>0</v>
      </c>
    </row>
    <row r="7908" spans="1:6" hidden="1" x14ac:dyDescent="0.25">
      <c r="A7908" t="s">
        <v>682</v>
      </c>
      <c r="B7908" t="s">
        <v>65</v>
      </c>
      <c r="E7908" s="3">
        <f>HYPERLINK("https://sao.dolgi.msk.ru/account/1404270458/", 1404270458)</f>
        <v>1404270458</v>
      </c>
      <c r="F7908">
        <v>-1654.71</v>
      </c>
    </row>
    <row r="7909" spans="1:6" x14ac:dyDescent="0.25">
      <c r="A7909" t="s">
        <v>682</v>
      </c>
      <c r="B7909" t="s">
        <v>66</v>
      </c>
      <c r="C7909" s="5" t="str">
        <f>" кв. "&amp;B7909</f>
        <v xml:space="preserve"> кв. 62</v>
      </c>
      <c r="D7909" s="5" t="str">
        <f>CONCATENATE(A7909,C7909)</f>
        <v>Ленинградское шоссе, дом 112/1 к.1 кв. 62</v>
      </c>
      <c r="E7909" s="3">
        <f>HYPERLINK("https://sao.dolgi.msk.ru/account/1404269959/", 1404269959)</f>
        <v>1404269959</v>
      </c>
      <c r="F7909">
        <v>1239.9000000000001</v>
      </c>
    </row>
    <row r="7910" spans="1:6" hidden="1" x14ac:dyDescent="0.25">
      <c r="A7910" t="s">
        <v>682</v>
      </c>
      <c r="B7910" t="s">
        <v>67</v>
      </c>
      <c r="E7910" s="3">
        <f>HYPERLINK("https://sao.dolgi.msk.ru/account/1404269545/", 1404269545)</f>
        <v>1404269545</v>
      </c>
      <c r="F7910">
        <v>0</v>
      </c>
    </row>
    <row r="7911" spans="1:6" hidden="1" x14ac:dyDescent="0.25">
      <c r="A7911" t="s">
        <v>682</v>
      </c>
      <c r="B7911" t="s">
        <v>68</v>
      </c>
      <c r="E7911" s="3">
        <f>HYPERLINK("https://sao.dolgi.msk.ru/account/1404268585/", 1404268585)</f>
        <v>1404268585</v>
      </c>
      <c r="F7911">
        <v>-2616.1</v>
      </c>
    </row>
    <row r="7912" spans="1:6" hidden="1" x14ac:dyDescent="0.25">
      <c r="A7912" t="s">
        <v>682</v>
      </c>
      <c r="B7912" t="s">
        <v>69</v>
      </c>
      <c r="E7912" s="3">
        <f>HYPERLINK("https://sao.dolgi.msk.ru/account/1404270466/", 1404270466)</f>
        <v>1404270466</v>
      </c>
      <c r="F7912">
        <v>-1712.4</v>
      </c>
    </row>
    <row r="7913" spans="1:6" hidden="1" x14ac:dyDescent="0.25">
      <c r="A7913" t="s">
        <v>682</v>
      </c>
      <c r="B7913" t="s">
        <v>70</v>
      </c>
      <c r="E7913" s="3">
        <f>HYPERLINK("https://sao.dolgi.msk.ru/account/1404268892/", 1404268892)</f>
        <v>1404268892</v>
      </c>
      <c r="F7913">
        <v>-623.96</v>
      </c>
    </row>
    <row r="7914" spans="1:6" hidden="1" x14ac:dyDescent="0.25">
      <c r="A7914" t="s">
        <v>682</v>
      </c>
      <c r="B7914" t="s">
        <v>70</v>
      </c>
      <c r="E7914" s="3">
        <f>HYPERLINK("https://sao.dolgi.msk.ru/account/1404271362/", 1404271362)</f>
        <v>1404271362</v>
      </c>
      <c r="F7914">
        <v>-623.99</v>
      </c>
    </row>
    <row r="7915" spans="1:6" x14ac:dyDescent="0.25">
      <c r="A7915" t="s">
        <v>682</v>
      </c>
      <c r="B7915" t="s">
        <v>72</v>
      </c>
      <c r="C7915" s="5" t="str">
        <f t="shared" ref="C7915:C7916" si="331">" кв. "&amp;B7915</f>
        <v xml:space="preserve"> кв. 68</v>
      </c>
      <c r="D7915" s="5" t="str">
        <f>CONCATENATE(A7915,C7915)</f>
        <v>Ленинградское шоссе, дом 112/1 к.1 кв. 68</v>
      </c>
      <c r="E7915" s="3">
        <f>HYPERLINK("https://sao.dolgi.msk.ru/account/1404269983/", 1404269983)</f>
        <v>1404269983</v>
      </c>
      <c r="F7915">
        <v>2732.83</v>
      </c>
    </row>
    <row r="7916" spans="1:6" x14ac:dyDescent="0.25">
      <c r="A7916" t="s">
        <v>682</v>
      </c>
      <c r="B7916" t="s">
        <v>73</v>
      </c>
      <c r="C7916" s="5" t="str">
        <f t="shared" si="331"/>
        <v xml:space="preserve"> кв. 69</v>
      </c>
      <c r="D7916" s="5" t="str">
        <f>CONCATENATE(A7916,C7916)</f>
        <v>Ленинградское шоссе, дом 112/1 к.1 кв. 69</v>
      </c>
      <c r="E7916" s="3">
        <f>HYPERLINK("https://sao.dolgi.msk.ru/account/1404268606/", 1404268606)</f>
        <v>1404268606</v>
      </c>
      <c r="F7916">
        <v>1809.24</v>
      </c>
    </row>
    <row r="7917" spans="1:6" hidden="1" x14ac:dyDescent="0.25">
      <c r="A7917" t="s">
        <v>682</v>
      </c>
      <c r="B7917" t="s">
        <v>74</v>
      </c>
      <c r="E7917" s="3">
        <f>HYPERLINK("https://sao.dolgi.msk.ru/account/1404269561/", 1404269561)</f>
        <v>1404269561</v>
      </c>
      <c r="F7917">
        <v>0</v>
      </c>
    </row>
    <row r="7918" spans="1:6" hidden="1" x14ac:dyDescent="0.25">
      <c r="A7918" t="s">
        <v>682</v>
      </c>
      <c r="B7918" t="s">
        <v>75</v>
      </c>
      <c r="E7918" s="3">
        <f>HYPERLINK("https://sao.dolgi.msk.ru/account/1404269991/", 1404269991)</f>
        <v>1404269991</v>
      </c>
      <c r="F7918">
        <v>-1377.37</v>
      </c>
    </row>
    <row r="7919" spans="1:6" x14ac:dyDescent="0.25">
      <c r="A7919" t="s">
        <v>682</v>
      </c>
      <c r="B7919" t="s">
        <v>76</v>
      </c>
      <c r="C7919" s="5" t="str">
        <f>" кв. "&amp;B7919</f>
        <v xml:space="preserve"> кв. 72</v>
      </c>
      <c r="D7919" s="5" t="str">
        <f>CONCATENATE(A7919,C7919)</f>
        <v>Ленинградское шоссе, дом 112/1 к.1 кв. 72</v>
      </c>
      <c r="E7919" s="3">
        <f>HYPERLINK("https://sao.dolgi.msk.ru/account/1404269895/", 1404269895)</f>
        <v>1404269895</v>
      </c>
      <c r="F7919">
        <v>1255.71</v>
      </c>
    </row>
    <row r="7920" spans="1:6" hidden="1" x14ac:dyDescent="0.25">
      <c r="A7920" t="s">
        <v>682</v>
      </c>
      <c r="B7920" t="s">
        <v>77</v>
      </c>
      <c r="E7920" s="3">
        <f>HYPERLINK("https://sao.dolgi.msk.ru/account/1404270474/", 1404270474)</f>
        <v>1404270474</v>
      </c>
      <c r="F7920">
        <v>-2292.86</v>
      </c>
    </row>
    <row r="7921" spans="1:6" hidden="1" x14ac:dyDescent="0.25">
      <c r="A7921" t="s">
        <v>682</v>
      </c>
      <c r="B7921" t="s">
        <v>78</v>
      </c>
      <c r="E7921" s="3">
        <f>HYPERLINK("https://sao.dolgi.msk.ru/account/1404269588/", 1404269588)</f>
        <v>1404269588</v>
      </c>
      <c r="F7921">
        <v>-1013.86</v>
      </c>
    </row>
    <row r="7922" spans="1:6" hidden="1" x14ac:dyDescent="0.25">
      <c r="A7922" t="s">
        <v>682</v>
      </c>
      <c r="B7922" t="s">
        <v>79</v>
      </c>
      <c r="E7922" s="3">
        <f>HYPERLINK("https://sao.dolgi.msk.ru/account/1404270001/", 1404270001)</f>
        <v>1404270001</v>
      </c>
      <c r="F7922">
        <v>-1643.62</v>
      </c>
    </row>
    <row r="7923" spans="1:6" hidden="1" x14ac:dyDescent="0.25">
      <c r="A7923" t="s">
        <v>682</v>
      </c>
      <c r="B7923" t="s">
        <v>80</v>
      </c>
      <c r="E7923" s="3">
        <f>HYPERLINK("https://sao.dolgi.msk.ru/account/1404268198/", 1404268198)</f>
        <v>1404268198</v>
      </c>
      <c r="F7923">
        <v>-2141.7399999999998</v>
      </c>
    </row>
    <row r="7924" spans="1:6" hidden="1" x14ac:dyDescent="0.25">
      <c r="A7924" t="s">
        <v>682</v>
      </c>
      <c r="B7924" t="s">
        <v>81</v>
      </c>
      <c r="E7924" s="3">
        <f>HYPERLINK("https://sao.dolgi.msk.ru/account/1404271389/", 1404271389)</f>
        <v>1404271389</v>
      </c>
      <c r="F7924">
        <v>-2597.61</v>
      </c>
    </row>
    <row r="7925" spans="1:6" hidden="1" x14ac:dyDescent="0.25">
      <c r="A7925" t="s">
        <v>682</v>
      </c>
      <c r="B7925" t="s">
        <v>82</v>
      </c>
      <c r="E7925" s="3">
        <f>HYPERLINK("https://sao.dolgi.msk.ru/account/1404269035/", 1404269035)</f>
        <v>1404269035</v>
      </c>
      <c r="F7925">
        <v>-1405.11</v>
      </c>
    </row>
    <row r="7926" spans="1:6" hidden="1" x14ac:dyDescent="0.25">
      <c r="A7926" t="s">
        <v>682</v>
      </c>
      <c r="B7926" t="s">
        <v>83</v>
      </c>
      <c r="E7926" s="3">
        <f>HYPERLINK("https://sao.dolgi.msk.ru/account/1404270917/", 1404270917)</f>
        <v>1404270917</v>
      </c>
      <c r="F7926">
        <v>-1848.82</v>
      </c>
    </row>
    <row r="7927" spans="1:6" hidden="1" x14ac:dyDescent="0.25">
      <c r="A7927" t="s">
        <v>682</v>
      </c>
      <c r="B7927" t="s">
        <v>84</v>
      </c>
      <c r="E7927" s="3">
        <f>HYPERLINK("https://sao.dolgi.msk.ru/account/1404270482/", 1404270482)</f>
        <v>1404270482</v>
      </c>
      <c r="F7927">
        <v>-2634.57</v>
      </c>
    </row>
    <row r="7928" spans="1:6" hidden="1" x14ac:dyDescent="0.25">
      <c r="A7928" t="s">
        <v>682</v>
      </c>
      <c r="B7928" t="s">
        <v>85</v>
      </c>
      <c r="E7928" s="3">
        <f>HYPERLINK("https://sao.dolgi.msk.ru/account/1404270925/", 1404270925)</f>
        <v>1404270925</v>
      </c>
      <c r="F7928">
        <v>0</v>
      </c>
    </row>
    <row r="7929" spans="1:6" x14ac:dyDescent="0.25">
      <c r="A7929" t="s">
        <v>682</v>
      </c>
      <c r="B7929" t="s">
        <v>86</v>
      </c>
      <c r="C7929" s="5" t="str">
        <f t="shared" ref="C7929:C7933" si="332">" кв. "&amp;B7929</f>
        <v xml:space="preserve"> кв. 82</v>
      </c>
      <c r="D7929" s="5" t="str">
        <f>CONCATENATE(A7929,C7929)</f>
        <v>Ленинградское шоссе, дом 112/1 к.1 кв. 82</v>
      </c>
      <c r="E7929" s="3">
        <f>HYPERLINK("https://sao.dolgi.msk.ru/account/1404268219/", 1404268219)</f>
        <v>1404268219</v>
      </c>
      <c r="F7929">
        <v>474.45</v>
      </c>
    </row>
    <row r="7930" spans="1:6" x14ac:dyDescent="0.25">
      <c r="A7930" t="s">
        <v>682</v>
      </c>
      <c r="B7930" t="s">
        <v>87</v>
      </c>
      <c r="C7930" s="5" t="str">
        <f t="shared" si="332"/>
        <v xml:space="preserve"> кв. 83</v>
      </c>
      <c r="D7930" s="5" t="str">
        <f>CONCATENATE(A7930,C7930)</f>
        <v>Ленинградское шоссе, дом 112/1 к.1 кв. 83</v>
      </c>
      <c r="E7930" s="3">
        <f>HYPERLINK("https://sao.dolgi.msk.ru/account/1404268139/", 1404268139)</f>
        <v>1404268139</v>
      </c>
      <c r="F7930">
        <v>1271.53</v>
      </c>
    </row>
    <row r="7931" spans="1:6" x14ac:dyDescent="0.25">
      <c r="A7931" t="s">
        <v>682</v>
      </c>
      <c r="B7931" t="s">
        <v>88</v>
      </c>
      <c r="C7931" s="5" t="str">
        <f t="shared" si="332"/>
        <v xml:space="preserve"> кв. 84</v>
      </c>
      <c r="D7931" s="5" t="str">
        <f>CONCATENATE(A7931,C7931)</f>
        <v>Ленинградское шоссе, дом 112/1 к.1 кв. 84</v>
      </c>
      <c r="E7931" s="3">
        <f>HYPERLINK("https://sao.dolgi.msk.ru/account/1404269051/", 1404269051)</f>
        <v>1404269051</v>
      </c>
      <c r="F7931">
        <v>1799.75</v>
      </c>
    </row>
    <row r="7932" spans="1:6" x14ac:dyDescent="0.25">
      <c r="A7932" t="s">
        <v>682</v>
      </c>
      <c r="B7932" t="s">
        <v>89</v>
      </c>
      <c r="C7932" s="5" t="str">
        <f t="shared" si="332"/>
        <v xml:space="preserve"> кв. 85</v>
      </c>
      <c r="D7932" s="5" t="str">
        <f>CONCATENATE(A7932,C7932)</f>
        <v>Ленинградское шоссе, дом 112/1 к.1 кв. 85</v>
      </c>
      <c r="E7932" s="3">
        <f>HYPERLINK("https://sao.dolgi.msk.ru/account/1404267945/", 1404267945)</f>
        <v>1404267945</v>
      </c>
      <c r="F7932">
        <v>1787.1</v>
      </c>
    </row>
    <row r="7933" spans="1:6" x14ac:dyDescent="0.25">
      <c r="A7933" t="s">
        <v>682</v>
      </c>
      <c r="B7933" t="s">
        <v>90</v>
      </c>
      <c r="C7933" s="5" t="str">
        <f t="shared" si="332"/>
        <v xml:space="preserve"> кв. 86</v>
      </c>
      <c r="D7933" s="5" t="str">
        <f>CONCATENATE(A7933,C7933)</f>
        <v>Ленинградское шоссе, дом 112/1 к.1 кв. 86</v>
      </c>
      <c r="E7933" s="3">
        <f>HYPERLINK("https://sao.dolgi.msk.ru/account/1404269078/", 1404269078)</f>
        <v>1404269078</v>
      </c>
      <c r="F7933">
        <v>961.55</v>
      </c>
    </row>
    <row r="7934" spans="1:6" hidden="1" x14ac:dyDescent="0.25">
      <c r="A7934" t="s">
        <v>682</v>
      </c>
      <c r="B7934" t="s">
        <v>91</v>
      </c>
      <c r="E7934" s="3">
        <f>HYPERLINK("https://sao.dolgi.msk.ru/account/1404268649/", 1404268649)</f>
        <v>1404268649</v>
      </c>
      <c r="F7934">
        <v>-1588.16</v>
      </c>
    </row>
    <row r="7935" spans="1:6" hidden="1" x14ac:dyDescent="0.25">
      <c r="A7935" t="s">
        <v>682</v>
      </c>
      <c r="B7935" t="s">
        <v>92</v>
      </c>
      <c r="E7935" s="3">
        <f>HYPERLINK("https://sao.dolgi.msk.ru/account/1404269086/", 1404269086)</f>
        <v>1404269086</v>
      </c>
      <c r="F7935">
        <v>-1689.06</v>
      </c>
    </row>
    <row r="7936" spans="1:6" hidden="1" x14ac:dyDescent="0.25">
      <c r="A7936" t="s">
        <v>682</v>
      </c>
      <c r="B7936" t="s">
        <v>93</v>
      </c>
      <c r="E7936" s="3">
        <f>HYPERLINK("https://sao.dolgi.msk.ru/account/1404269609/", 1404269609)</f>
        <v>1404269609</v>
      </c>
      <c r="F7936">
        <v>-1885.8</v>
      </c>
    </row>
    <row r="7937" spans="1:6" hidden="1" x14ac:dyDescent="0.25">
      <c r="A7937" t="s">
        <v>682</v>
      </c>
      <c r="B7937" t="s">
        <v>94</v>
      </c>
      <c r="E7937" s="3">
        <f>HYPERLINK("https://sao.dolgi.msk.ru/account/1404269094/", 1404269094)</f>
        <v>1404269094</v>
      </c>
      <c r="F7937">
        <v>-1414.36</v>
      </c>
    </row>
    <row r="7938" spans="1:6" hidden="1" x14ac:dyDescent="0.25">
      <c r="A7938" t="s">
        <v>682</v>
      </c>
      <c r="B7938" t="s">
        <v>95</v>
      </c>
      <c r="E7938" s="3">
        <f>HYPERLINK("https://sao.dolgi.msk.ru/account/1404270044/", 1404270044)</f>
        <v>1404270044</v>
      </c>
      <c r="F7938">
        <v>-1867.31</v>
      </c>
    </row>
    <row r="7939" spans="1:6" hidden="1" x14ac:dyDescent="0.25">
      <c r="A7939" t="s">
        <v>682</v>
      </c>
      <c r="B7939" t="s">
        <v>96</v>
      </c>
      <c r="E7939" s="3">
        <f>HYPERLINK("https://sao.dolgi.msk.ru/account/1404268657/", 1404268657)</f>
        <v>1404268657</v>
      </c>
      <c r="F7939">
        <v>-1562.29</v>
      </c>
    </row>
    <row r="7940" spans="1:6" hidden="1" x14ac:dyDescent="0.25">
      <c r="A7940" t="s">
        <v>682</v>
      </c>
      <c r="B7940" t="s">
        <v>97</v>
      </c>
      <c r="E7940" s="3">
        <f>HYPERLINK("https://sao.dolgi.msk.ru/account/1404270052/", 1404270052)</f>
        <v>1404270052</v>
      </c>
      <c r="F7940">
        <v>-1681.28</v>
      </c>
    </row>
    <row r="7941" spans="1:6" hidden="1" x14ac:dyDescent="0.25">
      <c r="A7941" t="s">
        <v>682</v>
      </c>
      <c r="B7941" t="s">
        <v>98</v>
      </c>
      <c r="E7941" s="3">
        <f>HYPERLINK("https://sao.dolgi.msk.ru/account/1404270968/", 1404270968)</f>
        <v>1404270968</v>
      </c>
      <c r="F7941">
        <v>-1418.98</v>
      </c>
    </row>
    <row r="7942" spans="1:6" hidden="1" x14ac:dyDescent="0.25">
      <c r="A7942" t="s">
        <v>682</v>
      </c>
      <c r="B7942" t="s">
        <v>99</v>
      </c>
      <c r="E7942" s="3">
        <f>HYPERLINK("https://sao.dolgi.msk.ru/account/1404268665/", 1404268665)</f>
        <v>1404268665</v>
      </c>
      <c r="F7942">
        <v>-1876.56</v>
      </c>
    </row>
    <row r="7943" spans="1:6" hidden="1" x14ac:dyDescent="0.25">
      <c r="A7943" t="s">
        <v>682</v>
      </c>
      <c r="B7943" t="s">
        <v>100</v>
      </c>
      <c r="E7943" s="3">
        <f>HYPERLINK("https://sao.dolgi.msk.ru/account/1404268673/", 1404268673)</f>
        <v>1404268673</v>
      </c>
      <c r="F7943">
        <v>-2042.35</v>
      </c>
    </row>
    <row r="7944" spans="1:6" hidden="1" x14ac:dyDescent="0.25">
      <c r="A7944" t="s">
        <v>682</v>
      </c>
      <c r="B7944" t="s">
        <v>101</v>
      </c>
      <c r="E7944" s="3">
        <f>HYPERLINK("https://sao.dolgi.msk.ru/account/1404271047/", 1404271047)</f>
        <v>1404271047</v>
      </c>
      <c r="F7944">
        <v>-2620.7199999999998</v>
      </c>
    </row>
    <row r="7945" spans="1:6" x14ac:dyDescent="0.25">
      <c r="A7945" t="s">
        <v>682</v>
      </c>
      <c r="B7945" t="s">
        <v>102</v>
      </c>
      <c r="C7945" s="5" t="str">
        <f>" кв. "&amp;B7945</f>
        <v xml:space="preserve"> кв. 98</v>
      </c>
      <c r="D7945" s="5" t="str">
        <f>CONCATENATE(A7945,C7945)</f>
        <v>Ленинградское шоссе, дом 112/1 к.1 кв. 98</v>
      </c>
      <c r="E7945" s="3">
        <f>HYPERLINK("https://sao.dolgi.msk.ru/account/1404268243/", 1404268243)</f>
        <v>1404268243</v>
      </c>
      <c r="F7945">
        <v>955.23</v>
      </c>
    </row>
    <row r="7946" spans="1:6" hidden="1" x14ac:dyDescent="0.25">
      <c r="A7946" t="s">
        <v>682</v>
      </c>
      <c r="B7946" t="s">
        <v>103</v>
      </c>
      <c r="E7946" s="3">
        <f>HYPERLINK("https://sao.dolgi.msk.ru/account/1404270976/", 1404270976)</f>
        <v>1404270976</v>
      </c>
      <c r="F7946">
        <v>-1871.94</v>
      </c>
    </row>
    <row r="7947" spans="1:6" hidden="1" x14ac:dyDescent="0.25">
      <c r="A7947" t="s">
        <v>682</v>
      </c>
      <c r="B7947" t="s">
        <v>104</v>
      </c>
      <c r="E7947" s="3">
        <f>HYPERLINK("https://sao.dolgi.msk.ru/account/1404268227/", 1404268227)</f>
        <v>1404268227</v>
      </c>
      <c r="F7947">
        <v>-2602.23</v>
      </c>
    </row>
    <row r="7948" spans="1:6" hidden="1" x14ac:dyDescent="0.25">
      <c r="A7948" t="s">
        <v>682</v>
      </c>
      <c r="B7948" t="s">
        <v>105</v>
      </c>
      <c r="E7948" s="3">
        <f>HYPERLINK("https://sao.dolgi.msk.ru/account/1404271418/", 1404271418)</f>
        <v>1404271418</v>
      </c>
      <c r="F7948">
        <v>-2203.1799999999998</v>
      </c>
    </row>
    <row r="7949" spans="1:6" x14ac:dyDescent="0.25">
      <c r="A7949" t="s">
        <v>682</v>
      </c>
      <c r="B7949" t="s">
        <v>106</v>
      </c>
      <c r="C7949" s="5" t="str">
        <f>" кв. "&amp;B7949</f>
        <v xml:space="preserve"> кв. 102</v>
      </c>
      <c r="D7949" s="5" t="str">
        <f>CONCATENATE(A7949,C7949)</f>
        <v>Ленинградское шоссе, дом 112/1 к.1 кв. 102</v>
      </c>
      <c r="E7949" s="3">
        <f>HYPERLINK("https://sao.dolgi.msk.ru/account/1404271426/", 1404271426)</f>
        <v>1404271426</v>
      </c>
      <c r="F7949">
        <v>948.9</v>
      </c>
    </row>
    <row r="7950" spans="1:6" hidden="1" x14ac:dyDescent="0.25">
      <c r="A7950" t="s">
        <v>682</v>
      </c>
      <c r="B7950" t="s">
        <v>107</v>
      </c>
      <c r="E7950" s="3">
        <f>HYPERLINK("https://sao.dolgi.msk.ru/account/1404270028/", 1404270028)</f>
        <v>1404270028</v>
      </c>
      <c r="F7950">
        <v>0</v>
      </c>
    </row>
    <row r="7951" spans="1:6" hidden="1" x14ac:dyDescent="0.25">
      <c r="A7951" t="s">
        <v>682</v>
      </c>
      <c r="B7951" t="s">
        <v>108</v>
      </c>
      <c r="E7951" s="3">
        <f>HYPERLINK("https://sao.dolgi.msk.ru/account/1404270888/", 1404270888)</f>
        <v>1404270888</v>
      </c>
      <c r="F7951">
        <v>-2639.19</v>
      </c>
    </row>
    <row r="7952" spans="1:6" hidden="1" x14ac:dyDescent="0.25">
      <c r="A7952" t="s">
        <v>682</v>
      </c>
      <c r="B7952" t="s">
        <v>109</v>
      </c>
      <c r="E7952" s="3">
        <f>HYPERLINK("https://sao.dolgi.msk.ru/account/1404268542/", 1404268542)</f>
        <v>1404268542</v>
      </c>
      <c r="F7952">
        <v>-2611.48</v>
      </c>
    </row>
    <row r="7953" spans="1:6" hidden="1" x14ac:dyDescent="0.25">
      <c r="A7953" t="s">
        <v>682</v>
      </c>
      <c r="B7953" t="s">
        <v>110</v>
      </c>
      <c r="E7953" s="3">
        <f>HYPERLINK("https://sao.dolgi.msk.ru/account/1404270423/", 1404270423)</f>
        <v>1404270423</v>
      </c>
      <c r="F7953">
        <v>-2886.64</v>
      </c>
    </row>
    <row r="7954" spans="1:6" hidden="1" x14ac:dyDescent="0.25">
      <c r="A7954" t="s">
        <v>682</v>
      </c>
      <c r="B7954" t="s">
        <v>111</v>
      </c>
      <c r="E7954" s="3">
        <f>HYPERLINK("https://sao.dolgi.msk.ru/account/1404271311/", 1404271311)</f>
        <v>1404271311</v>
      </c>
      <c r="F7954">
        <v>0</v>
      </c>
    </row>
    <row r="7955" spans="1:6" hidden="1" x14ac:dyDescent="0.25">
      <c r="A7955" t="s">
        <v>682</v>
      </c>
      <c r="B7955" t="s">
        <v>112</v>
      </c>
      <c r="E7955" s="3">
        <f>HYPERLINK("https://sao.dolgi.msk.ru/account/1404268622/", 1404268622)</f>
        <v>1404268622</v>
      </c>
      <c r="F7955">
        <v>-2648.44</v>
      </c>
    </row>
    <row r="7956" spans="1:6" hidden="1" x14ac:dyDescent="0.25">
      <c r="A7956" t="s">
        <v>682</v>
      </c>
      <c r="B7956" t="s">
        <v>113</v>
      </c>
      <c r="E7956" s="3">
        <f>HYPERLINK("https://sao.dolgi.msk.ru/account/1404270933/", 1404270933)</f>
        <v>1404270933</v>
      </c>
      <c r="F7956">
        <v>0</v>
      </c>
    </row>
    <row r="7957" spans="1:6" hidden="1" x14ac:dyDescent="0.25">
      <c r="A7957" t="s">
        <v>682</v>
      </c>
      <c r="B7957" t="s">
        <v>114</v>
      </c>
      <c r="E7957" s="3">
        <f>HYPERLINK("https://sao.dolgi.msk.ru/account/1404267937/", 1404267937)</f>
        <v>1404267937</v>
      </c>
      <c r="F7957">
        <v>-1778.7</v>
      </c>
    </row>
    <row r="7958" spans="1:6" hidden="1" x14ac:dyDescent="0.25">
      <c r="A7958" t="s">
        <v>682</v>
      </c>
      <c r="B7958" t="s">
        <v>115</v>
      </c>
      <c r="E7958" s="3">
        <f>HYPERLINK("https://sao.dolgi.msk.ru/account/1404270941/", 1404270941)</f>
        <v>1404270941</v>
      </c>
      <c r="F7958">
        <v>-1639.51</v>
      </c>
    </row>
    <row r="7959" spans="1:6" x14ac:dyDescent="0.25">
      <c r="A7959" t="s">
        <v>682</v>
      </c>
      <c r="B7959" t="s">
        <v>116</v>
      </c>
      <c r="C7959" s="5" t="str">
        <f t="shared" ref="C7959:C7960" si="333">" кв. "&amp;B7959</f>
        <v xml:space="preserve"> кв. 112</v>
      </c>
      <c r="D7959" s="5" t="str">
        <f>CONCATENATE(A7959,C7959)</f>
        <v>Ленинградское шоссе, дом 112/1 к.1 кв. 112</v>
      </c>
      <c r="E7959" s="3">
        <f>HYPERLINK("https://sao.dolgi.msk.ru/account/1404269043/", 1404269043)</f>
        <v>1404269043</v>
      </c>
      <c r="F7959">
        <v>1494.6</v>
      </c>
    </row>
    <row r="7960" spans="1:6" x14ac:dyDescent="0.25">
      <c r="A7960" t="s">
        <v>682</v>
      </c>
      <c r="B7960" t="s">
        <v>117</v>
      </c>
      <c r="C7960" s="5" t="str">
        <f t="shared" si="333"/>
        <v xml:space="preserve"> кв. 113</v>
      </c>
      <c r="D7960" s="5" t="str">
        <f>CONCATENATE(A7960,C7960)</f>
        <v>Ленинградское шоссе, дом 112/1 к.1 кв. 113</v>
      </c>
      <c r="E7960" s="3">
        <f>HYPERLINK("https://sao.dolgi.msk.ru/account/1404268235/", 1404268235)</f>
        <v>1404268235</v>
      </c>
      <c r="F7960">
        <v>1809.24</v>
      </c>
    </row>
    <row r="7961" spans="1:6" hidden="1" x14ac:dyDescent="0.25">
      <c r="A7961" t="s">
        <v>682</v>
      </c>
      <c r="B7961" t="s">
        <v>118</v>
      </c>
      <c r="E7961" s="3">
        <f>HYPERLINK("https://sao.dolgi.msk.ru/account/1404270685/", 1404270685)</f>
        <v>1404270685</v>
      </c>
      <c r="F7961">
        <v>-1377.37</v>
      </c>
    </row>
    <row r="7962" spans="1:6" hidden="1" x14ac:dyDescent="0.25">
      <c r="A7962" t="s">
        <v>682</v>
      </c>
      <c r="B7962" t="s">
        <v>119</v>
      </c>
      <c r="E7962" s="3">
        <f>HYPERLINK("https://sao.dolgi.msk.ru/account/1404271186/", 1404271186)</f>
        <v>1404271186</v>
      </c>
      <c r="F7962">
        <v>-1858.07</v>
      </c>
    </row>
    <row r="7963" spans="1:6" hidden="1" x14ac:dyDescent="0.25">
      <c r="A7963" t="s">
        <v>682</v>
      </c>
      <c r="B7963" t="s">
        <v>120</v>
      </c>
      <c r="E7963" s="3">
        <f>HYPERLINK("https://sao.dolgi.msk.ru/account/1404268809/", 1404268809)</f>
        <v>1404268809</v>
      </c>
      <c r="F7963">
        <v>-2629.95</v>
      </c>
    </row>
    <row r="7964" spans="1:6" x14ac:dyDescent="0.25">
      <c r="A7964" t="s">
        <v>682</v>
      </c>
      <c r="B7964" t="s">
        <v>121</v>
      </c>
      <c r="C7964" s="5" t="str">
        <f t="shared" ref="C7964:C7965" si="334">" кв. "&amp;B7964</f>
        <v xml:space="preserve"> кв. 117</v>
      </c>
      <c r="D7964" s="5" t="str">
        <f>CONCATENATE(A7964,C7964)</f>
        <v>Ленинградское шоссе, дом 112/1 к.1 кв. 117</v>
      </c>
      <c r="E7964" s="3">
        <f>HYPERLINK("https://sao.dolgi.msk.ru/account/1404268817/", 1404268817)</f>
        <v>1404268817</v>
      </c>
      <c r="F7964">
        <v>1802.91</v>
      </c>
    </row>
    <row r="7965" spans="1:6" x14ac:dyDescent="0.25">
      <c r="A7965" t="s">
        <v>682</v>
      </c>
      <c r="B7965" t="s">
        <v>122</v>
      </c>
      <c r="C7965" s="5" t="str">
        <f t="shared" si="334"/>
        <v xml:space="preserve"> кв. 118</v>
      </c>
      <c r="D7965" s="5" t="str">
        <f>CONCATENATE(A7965,C7965)</f>
        <v>Ленинградское шоссе, дом 112/1 к.1 кв. 118</v>
      </c>
      <c r="E7965" s="3">
        <f>HYPERLINK("https://sao.dolgi.msk.ru/account/1404270191/", 1404270191)</f>
        <v>1404270191</v>
      </c>
      <c r="F7965">
        <v>948.9</v>
      </c>
    </row>
    <row r="7966" spans="1:6" hidden="1" x14ac:dyDescent="0.25">
      <c r="A7966" t="s">
        <v>682</v>
      </c>
      <c r="B7966" t="s">
        <v>123</v>
      </c>
      <c r="E7966" s="3">
        <f>HYPERLINK("https://sao.dolgi.msk.ru/account/1404268825/", 1404268825)</f>
        <v>1404268825</v>
      </c>
      <c r="F7966">
        <v>-1572.57</v>
      </c>
    </row>
    <row r="7967" spans="1:6" x14ac:dyDescent="0.25">
      <c r="A7967" t="s">
        <v>682</v>
      </c>
      <c r="B7967" t="s">
        <v>124</v>
      </c>
      <c r="C7967" s="5" t="str">
        <f>" кв. "&amp;B7967</f>
        <v xml:space="preserve"> кв. 120</v>
      </c>
      <c r="D7967" s="5" t="str">
        <f>CONCATENATE(A7967,C7967)</f>
        <v>Ленинградское шоссе, дом 112/1 к.1 кв. 120</v>
      </c>
      <c r="E7967" s="3">
        <f>HYPERLINK("https://sao.dolgi.msk.ru/account/1404270749/", 1404270749)</f>
        <v>1404270749</v>
      </c>
      <c r="F7967">
        <v>1806.07</v>
      </c>
    </row>
    <row r="7968" spans="1:6" hidden="1" x14ac:dyDescent="0.25">
      <c r="A7968" t="s">
        <v>682</v>
      </c>
      <c r="B7968" t="s">
        <v>125</v>
      </c>
      <c r="E7968" s="3">
        <f>HYPERLINK("https://sao.dolgi.msk.ru/account/1404271215/", 1404271215)</f>
        <v>1404271215</v>
      </c>
      <c r="F7968">
        <v>-2648.44</v>
      </c>
    </row>
    <row r="7969" spans="1:6" hidden="1" x14ac:dyDescent="0.25">
      <c r="A7969" t="s">
        <v>682</v>
      </c>
      <c r="B7969" t="s">
        <v>126</v>
      </c>
      <c r="E7969" s="3">
        <f>HYPERLINK("https://sao.dolgi.msk.ru/account/1404270757/", 1404270757)</f>
        <v>1404270757</v>
      </c>
      <c r="F7969">
        <v>0</v>
      </c>
    </row>
    <row r="7970" spans="1:6" hidden="1" x14ac:dyDescent="0.25">
      <c r="A7970" t="s">
        <v>682</v>
      </c>
      <c r="B7970" t="s">
        <v>127</v>
      </c>
      <c r="E7970" s="3">
        <f>HYPERLINK("https://sao.dolgi.msk.ru/account/1404268075/", 1404268075)</f>
        <v>1404268075</v>
      </c>
      <c r="F7970">
        <v>0</v>
      </c>
    </row>
    <row r="7971" spans="1:6" hidden="1" x14ac:dyDescent="0.25">
      <c r="A7971" t="s">
        <v>682</v>
      </c>
      <c r="B7971" t="s">
        <v>128</v>
      </c>
      <c r="E7971" s="3">
        <f>HYPERLINK("https://sao.dolgi.msk.ru/account/1404269342/", 1404269342)</f>
        <v>1404269342</v>
      </c>
      <c r="F7971">
        <v>-579.26</v>
      </c>
    </row>
    <row r="7972" spans="1:6" hidden="1" x14ac:dyDescent="0.25">
      <c r="A7972" t="s">
        <v>682</v>
      </c>
      <c r="B7972" t="s">
        <v>129</v>
      </c>
      <c r="E7972" s="3">
        <f>HYPERLINK("https://sao.dolgi.msk.ru/account/1404271223/", 1404271223)</f>
        <v>1404271223</v>
      </c>
      <c r="F7972">
        <v>-2643.82</v>
      </c>
    </row>
    <row r="7973" spans="1:6" hidden="1" x14ac:dyDescent="0.25">
      <c r="A7973" t="s">
        <v>682</v>
      </c>
      <c r="B7973" t="s">
        <v>130</v>
      </c>
      <c r="E7973" s="3">
        <f>HYPERLINK("https://sao.dolgi.msk.ru/account/1404268411/", 1404268411)</f>
        <v>1404268411</v>
      </c>
      <c r="F7973">
        <v>0</v>
      </c>
    </row>
    <row r="7974" spans="1:6" hidden="1" x14ac:dyDescent="0.25">
      <c r="A7974" t="s">
        <v>682</v>
      </c>
      <c r="B7974" t="s">
        <v>131</v>
      </c>
      <c r="E7974" s="3">
        <f>HYPERLINK("https://sao.dolgi.msk.ru/account/1404271231/", 1404271231)</f>
        <v>1404271231</v>
      </c>
      <c r="F7974">
        <v>-595.29999999999995</v>
      </c>
    </row>
    <row r="7975" spans="1:6" hidden="1" x14ac:dyDescent="0.25">
      <c r="A7975" t="s">
        <v>682</v>
      </c>
      <c r="B7975" t="s">
        <v>132</v>
      </c>
      <c r="E7975" s="3">
        <f>HYPERLINK("https://sao.dolgi.msk.ru/account/1404268868/", 1404268868)</f>
        <v>1404268868</v>
      </c>
      <c r="F7975">
        <v>0</v>
      </c>
    </row>
    <row r="7976" spans="1:6" hidden="1" x14ac:dyDescent="0.25">
      <c r="A7976" t="s">
        <v>682</v>
      </c>
      <c r="B7976" t="s">
        <v>133</v>
      </c>
      <c r="E7976" s="3">
        <f>HYPERLINK("https://sao.dolgi.msk.ru/account/1404269369/", 1404269369)</f>
        <v>1404269369</v>
      </c>
      <c r="F7976">
        <v>-2616.1</v>
      </c>
    </row>
    <row r="7977" spans="1:6" x14ac:dyDescent="0.25">
      <c r="A7977" t="s">
        <v>682</v>
      </c>
      <c r="B7977" t="s">
        <v>134</v>
      </c>
      <c r="C7977" s="5" t="str">
        <f>" кв. "&amp;B7977</f>
        <v xml:space="preserve"> кв. 130</v>
      </c>
      <c r="D7977" s="5" t="str">
        <f>CONCATENATE(A7977,C7977)</f>
        <v>Ленинградское шоссе, дом 112/1 к.1 кв. 130</v>
      </c>
      <c r="E7977" s="3">
        <f>HYPERLINK("https://sao.dolgi.msk.ru/account/1404269385/", 1404269385)</f>
        <v>1404269385</v>
      </c>
      <c r="F7977">
        <v>948.9</v>
      </c>
    </row>
    <row r="7978" spans="1:6" hidden="1" x14ac:dyDescent="0.25">
      <c r="A7978" t="s">
        <v>682</v>
      </c>
      <c r="B7978" t="s">
        <v>135</v>
      </c>
      <c r="E7978" s="3">
        <f>HYPERLINK("https://sao.dolgi.msk.ru/account/1404270765/", 1404270765)</f>
        <v>1404270765</v>
      </c>
      <c r="F7978">
        <v>-3194.6</v>
      </c>
    </row>
    <row r="7979" spans="1:6" hidden="1" x14ac:dyDescent="0.25">
      <c r="A7979" t="s">
        <v>682</v>
      </c>
      <c r="B7979" t="s">
        <v>136</v>
      </c>
      <c r="E7979" s="3">
        <f>HYPERLINK("https://sao.dolgi.msk.ru/account/1404270247/", 1404270247)</f>
        <v>1404270247</v>
      </c>
      <c r="F7979">
        <v>-725.76</v>
      </c>
    </row>
    <row r="7980" spans="1:6" hidden="1" x14ac:dyDescent="0.25">
      <c r="A7980" t="s">
        <v>682</v>
      </c>
      <c r="B7980" t="s">
        <v>136</v>
      </c>
      <c r="E7980" s="3">
        <f>HYPERLINK("https://sao.dolgi.msk.ru/account/1404270538/", 1404270538)</f>
        <v>1404270538</v>
      </c>
      <c r="F7980">
        <v>-1473.53</v>
      </c>
    </row>
    <row r="7981" spans="1:6" hidden="1" x14ac:dyDescent="0.25">
      <c r="A7981" t="s">
        <v>682</v>
      </c>
      <c r="B7981" t="s">
        <v>137</v>
      </c>
      <c r="E7981" s="3">
        <f>HYPERLINK("https://sao.dolgi.msk.ru/account/1404269393/", 1404269393)</f>
        <v>1404269393</v>
      </c>
      <c r="F7981">
        <v>-1858.08</v>
      </c>
    </row>
    <row r="7982" spans="1:6" x14ac:dyDescent="0.25">
      <c r="A7982" t="s">
        <v>682</v>
      </c>
      <c r="B7982" t="s">
        <v>138</v>
      </c>
      <c r="C7982" s="5" t="str">
        <f>" кв. "&amp;B7982</f>
        <v xml:space="preserve"> кв. 134</v>
      </c>
      <c r="D7982" s="5" t="str">
        <f>CONCATENATE(A7982,C7982)</f>
        <v>Ленинградское шоссе, дом 112/1 к.1 кв. 134</v>
      </c>
      <c r="E7982" s="3">
        <f>HYPERLINK("https://sao.dolgi.msk.ru/account/1404269406/", 1404269406)</f>
        <v>1404269406</v>
      </c>
      <c r="F7982">
        <v>958.39</v>
      </c>
    </row>
    <row r="7983" spans="1:6" hidden="1" x14ac:dyDescent="0.25">
      <c r="A7983" t="s">
        <v>682</v>
      </c>
      <c r="B7983" t="s">
        <v>139</v>
      </c>
      <c r="E7983" s="3">
        <f>HYPERLINK("https://sao.dolgi.msk.ru/account/1404271258/", 1404271258)</f>
        <v>1404271258</v>
      </c>
      <c r="F7983">
        <v>-1881.18</v>
      </c>
    </row>
    <row r="7984" spans="1:6" x14ac:dyDescent="0.25">
      <c r="A7984" t="s">
        <v>682</v>
      </c>
      <c r="B7984" t="s">
        <v>140</v>
      </c>
      <c r="C7984" s="5" t="str">
        <f>" кв. "&amp;B7984</f>
        <v xml:space="preserve"> кв. 136</v>
      </c>
      <c r="D7984" s="5" t="str">
        <f>CONCATENATE(A7984,C7984)</f>
        <v>Ленинградское шоссе, дом 112/1 к.1 кв. 136</v>
      </c>
      <c r="E7984" s="3">
        <f>HYPERLINK("https://sao.dolgi.msk.ru/account/1404270255/", 1404270255)</f>
        <v>1404270255</v>
      </c>
      <c r="F7984">
        <v>1129.19</v>
      </c>
    </row>
    <row r="7985" spans="1:6" hidden="1" x14ac:dyDescent="0.25">
      <c r="A7985" t="s">
        <v>682</v>
      </c>
      <c r="B7985" t="s">
        <v>141</v>
      </c>
      <c r="E7985" s="3">
        <f>HYPERLINK("https://sao.dolgi.msk.ru/account/1404268438/", 1404268438)</f>
        <v>1404268438</v>
      </c>
      <c r="F7985">
        <v>-2639.19</v>
      </c>
    </row>
    <row r="7986" spans="1:6" hidden="1" x14ac:dyDescent="0.25">
      <c r="A7986" t="s">
        <v>682</v>
      </c>
      <c r="B7986" t="s">
        <v>142</v>
      </c>
      <c r="E7986" s="3">
        <f>HYPERLINK("https://sao.dolgi.msk.ru/account/1404270773/", 1404270773)</f>
        <v>1404270773</v>
      </c>
      <c r="F7986">
        <v>-1391.24</v>
      </c>
    </row>
    <row r="7987" spans="1:6" x14ac:dyDescent="0.25">
      <c r="A7987" t="s">
        <v>682</v>
      </c>
      <c r="B7987" t="s">
        <v>143</v>
      </c>
      <c r="C7987" s="5" t="str">
        <f t="shared" ref="C7987:C7988" si="335">" кв. "&amp;B7987</f>
        <v xml:space="preserve"> кв. 139</v>
      </c>
      <c r="D7987" s="5" t="str">
        <f>CONCATENATE(A7987,C7987)</f>
        <v>Ленинградское шоссе, дом 112/1 к.1 кв. 139</v>
      </c>
      <c r="E7987" s="3">
        <f>HYPERLINK("https://sao.dolgi.msk.ru/account/1404270781/", 1404270781)</f>
        <v>1404270781</v>
      </c>
      <c r="F7987">
        <v>1277.8499999999999</v>
      </c>
    </row>
    <row r="7988" spans="1:6" x14ac:dyDescent="0.25">
      <c r="A7988" t="s">
        <v>682</v>
      </c>
      <c r="B7988" t="s">
        <v>144</v>
      </c>
      <c r="C7988" s="5" t="str">
        <f t="shared" si="335"/>
        <v xml:space="preserve"> кв. 140</v>
      </c>
      <c r="D7988" s="5" t="str">
        <f>CONCATENATE(A7988,C7988)</f>
        <v>Ленинградское шоссе, дом 112/1 к.1 кв. 140</v>
      </c>
      <c r="E7988" s="3">
        <f>HYPERLINK("https://sao.dolgi.msk.ru/account/1404268446/", 1404268446)</f>
        <v>1404268446</v>
      </c>
      <c r="F7988">
        <v>1783.93</v>
      </c>
    </row>
    <row r="7989" spans="1:6" hidden="1" x14ac:dyDescent="0.25">
      <c r="A7989" t="s">
        <v>682</v>
      </c>
      <c r="B7989" t="s">
        <v>145</v>
      </c>
      <c r="E7989" s="3">
        <f>HYPERLINK("https://sao.dolgi.msk.ru/account/1404269879/", 1404269879)</f>
        <v>1404269879</v>
      </c>
      <c r="F7989">
        <v>-2620.7199999999998</v>
      </c>
    </row>
    <row r="7990" spans="1:6" hidden="1" x14ac:dyDescent="0.25">
      <c r="A7990" t="s">
        <v>682</v>
      </c>
      <c r="B7990" t="s">
        <v>146</v>
      </c>
      <c r="E7990" s="3">
        <f>HYPERLINK("https://sao.dolgi.msk.ru/account/1404270802/", 1404270802)</f>
        <v>1404270802</v>
      </c>
      <c r="F7990">
        <v>-1386.62</v>
      </c>
    </row>
    <row r="7991" spans="1:6" hidden="1" x14ac:dyDescent="0.25">
      <c r="A7991" t="s">
        <v>682</v>
      </c>
      <c r="B7991" t="s">
        <v>147</v>
      </c>
      <c r="E7991" s="3">
        <f>HYPERLINK("https://sao.dolgi.msk.ru/account/1404268091/", 1404268091)</f>
        <v>1404268091</v>
      </c>
      <c r="F7991">
        <v>0</v>
      </c>
    </row>
    <row r="7992" spans="1:6" hidden="1" x14ac:dyDescent="0.25">
      <c r="A7992" t="s">
        <v>682</v>
      </c>
      <c r="B7992" t="s">
        <v>148</v>
      </c>
      <c r="E7992" s="3">
        <f>HYPERLINK("https://sao.dolgi.msk.ru/account/1404268876/", 1404268876)</f>
        <v>1404268876</v>
      </c>
      <c r="F7992">
        <v>-2620.7199999999998</v>
      </c>
    </row>
    <row r="7993" spans="1:6" hidden="1" x14ac:dyDescent="0.25">
      <c r="A7993" t="s">
        <v>682</v>
      </c>
      <c r="B7993" t="s">
        <v>149</v>
      </c>
      <c r="E7993" s="3">
        <f>HYPERLINK("https://sao.dolgi.msk.ru/account/1404270263/", 1404270263)</f>
        <v>1404270263</v>
      </c>
      <c r="F7993">
        <v>-1146.43</v>
      </c>
    </row>
    <row r="7994" spans="1:6" hidden="1" x14ac:dyDescent="0.25">
      <c r="A7994" t="s">
        <v>682</v>
      </c>
      <c r="B7994" t="s">
        <v>150</v>
      </c>
      <c r="E7994" s="3">
        <f>HYPERLINK("https://sao.dolgi.msk.ru/account/1404270271/", 1404270271)</f>
        <v>1404270271</v>
      </c>
      <c r="F7994">
        <v>-1639.51</v>
      </c>
    </row>
    <row r="7995" spans="1:6" x14ac:dyDescent="0.25">
      <c r="A7995" t="s">
        <v>682</v>
      </c>
      <c r="B7995" t="s">
        <v>151</v>
      </c>
      <c r="C7995" s="5" t="str">
        <f>" кв. "&amp;B7995</f>
        <v xml:space="preserve"> кв. 147</v>
      </c>
      <c r="D7995" s="5" t="str">
        <f>CONCATENATE(A7995,C7995)</f>
        <v>Ленинградское шоссе, дом 112/1 к.1 кв. 147</v>
      </c>
      <c r="E7995" s="3">
        <f>HYPERLINK("https://sao.dolgi.msk.ru/account/1404268454/", 1404268454)</f>
        <v>1404268454</v>
      </c>
      <c r="F7995">
        <v>781.75</v>
      </c>
    </row>
    <row r="7996" spans="1:6" hidden="1" x14ac:dyDescent="0.25">
      <c r="A7996" t="s">
        <v>682</v>
      </c>
      <c r="B7996" t="s">
        <v>152</v>
      </c>
      <c r="E7996" s="3">
        <f>HYPERLINK("https://sao.dolgi.msk.ru/account/1404268462/", 1404268462)</f>
        <v>1404268462</v>
      </c>
      <c r="F7996">
        <v>0</v>
      </c>
    </row>
    <row r="7997" spans="1:6" hidden="1" x14ac:dyDescent="0.25">
      <c r="A7997" t="s">
        <v>682</v>
      </c>
      <c r="B7997" t="s">
        <v>153</v>
      </c>
      <c r="E7997" s="3">
        <f>HYPERLINK("https://sao.dolgi.msk.ru/account/1404270298/", 1404270298)</f>
        <v>1404270298</v>
      </c>
      <c r="F7997">
        <v>0</v>
      </c>
    </row>
    <row r="7998" spans="1:6" hidden="1" x14ac:dyDescent="0.25">
      <c r="A7998" t="s">
        <v>682</v>
      </c>
      <c r="B7998" t="s">
        <v>154</v>
      </c>
      <c r="E7998" s="3">
        <f>HYPERLINK("https://sao.dolgi.msk.ru/account/1404271266/", 1404271266)</f>
        <v>1404271266</v>
      </c>
      <c r="F7998">
        <v>-1844.2</v>
      </c>
    </row>
    <row r="7999" spans="1:6" hidden="1" x14ac:dyDescent="0.25">
      <c r="A7999" t="s">
        <v>682</v>
      </c>
      <c r="B7999" t="s">
        <v>155</v>
      </c>
      <c r="E7999" s="3">
        <f>HYPERLINK("https://sao.dolgi.msk.ru/account/1404270829/", 1404270829)</f>
        <v>1404270829</v>
      </c>
      <c r="F7999">
        <v>0</v>
      </c>
    </row>
    <row r="8000" spans="1:6" hidden="1" x14ac:dyDescent="0.25">
      <c r="A8000" t="s">
        <v>682</v>
      </c>
      <c r="B8000" t="s">
        <v>156</v>
      </c>
      <c r="E8000" s="3">
        <f>HYPERLINK("https://sao.dolgi.msk.ru/account/1404270327/", 1404270327)</f>
        <v>1404270327</v>
      </c>
      <c r="F8000">
        <v>0</v>
      </c>
    </row>
    <row r="8001" spans="1:6" x14ac:dyDescent="0.25">
      <c r="A8001" t="s">
        <v>682</v>
      </c>
      <c r="B8001" t="s">
        <v>157</v>
      </c>
      <c r="C8001" s="5" t="str">
        <f>" кв. "&amp;B8001</f>
        <v xml:space="preserve"> кв. 153</v>
      </c>
      <c r="D8001" s="5" t="str">
        <f>CONCATENATE(A8001,C8001)</f>
        <v>Ленинградское шоссе, дом 112/1 к.1 кв. 153</v>
      </c>
      <c r="E8001" s="3">
        <f>HYPERLINK("https://sao.dolgi.msk.ru/account/1404269414/", 1404269414)</f>
        <v>1404269414</v>
      </c>
      <c r="F8001">
        <v>1783.93</v>
      </c>
    </row>
    <row r="8002" spans="1:6" hidden="1" x14ac:dyDescent="0.25">
      <c r="A8002" t="s">
        <v>682</v>
      </c>
      <c r="B8002" t="s">
        <v>158</v>
      </c>
      <c r="E8002" s="3">
        <f>HYPERLINK("https://sao.dolgi.msk.ru/account/1404270335/", 1404270335)</f>
        <v>1404270335</v>
      </c>
      <c r="F8002">
        <v>-1858.07</v>
      </c>
    </row>
    <row r="8003" spans="1:6" x14ac:dyDescent="0.25">
      <c r="A8003" t="s">
        <v>682</v>
      </c>
      <c r="B8003" t="s">
        <v>159</v>
      </c>
      <c r="C8003" s="5" t="str">
        <f>" кв. "&amp;B8003</f>
        <v xml:space="preserve"> кв. 155</v>
      </c>
      <c r="D8003" s="5" t="str">
        <f>CONCATENATE(A8003,C8003)</f>
        <v>Ленинградское шоссе, дом 112/1 к.1 кв. 155</v>
      </c>
      <c r="E8003" s="3">
        <f>HYPERLINK("https://sao.dolgi.msk.ru/account/1404269887/", 1404269887)</f>
        <v>1404269887</v>
      </c>
      <c r="F8003">
        <v>939.41</v>
      </c>
    </row>
    <row r="8004" spans="1:6" hidden="1" x14ac:dyDescent="0.25">
      <c r="A8004" t="s">
        <v>682</v>
      </c>
      <c r="B8004" t="s">
        <v>160</v>
      </c>
      <c r="E8004" s="3">
        <f>HYPERLINK("https://sao.dolgi.msk.ru/account/1404269422/", 1404269422)</f>
        <v>1404269422</v>
      </c>
      <c r="F8004">
        <v>-319.69</v>
      </c>
    </row>
    <row r="8005" spans="1:6" hidden="1" x14ac:dyDescent="0.25">
      <c r="A8005" t="s">
        <v>682</v>
      </c>
      <c r="B8005" t="s">
        <v>161</v>
      </c>
      <c r="E8005" s="3">
        <f>HYPERLINK("https://sao.dolgi.msk.ru/account/1404270837/", 1404270837)</f>
        <v>1404270837</v>
      </c>
      <c r="F8005">
        <v>0</v>
      </c>
    </row>
    <row r="8006" spans="1:6" hidden="1" x14ac:dyDescent="0.25">
      <c r="A8006" t="s">
        <v>682</v>
      </c>
      <c r="B8006" t="s">
        <v>162</v>
      </c>
      <c r="E8006" s="3">
        <f>HYPERLINK("https://sao.dolgi.msk.ru/account/1404268884/", 1404268884)</f>
        <v>1404268884</v>
      </c>
      <c r="F8006">
        <v>0</v>
      </c>
    </row>
    <row r="8007" spans="1:6" hidden="1" x14ac:dyDescent="0.25">
      <c r="A8007" t="s">
        <v>682</v>
      </c>
      <c r="B8007" t="s">
        <v>163</v>
      </c>
      <c r="E8007" s="3">
        <f>HYPERLINK("https://sao.dolgi.msk.ru/account/1404271274/", 1404271274)</f>
        <v>1404271274</v>
      </c>
      <c r="F8007">
        <v>0</v>
      </c>
    </row>
    <row r="8008" spans="1:6" hidden="1" x14ac:dyDescent="0.25">
      <c r="A8008" t="s">
        <v>682</v>
      </c>
      <c r="B8008" t="s">
        <v>164</v>
      </c>
      <c r="E8008" s="3">
        <f>HYPERLINK("https://sao.dolgi.msk.ru/account/1404268489/", 1404268489)</f>
        <v>1404268489</v>
      </c>
      <c r="F8008">
        <v>-987.58</v>
      </c>
    </row>
    <row r="8009" spans="1:6" hidden="1" x14ac:dyDescent="0.25">
      <c r="A8009" t="s">
        <v>682</v>
      </c>
      <c r="B8009" t="s">
        <v>164</v>
      </c>
      <c r="E8009" s="3">
        <f>HYPERLINK("https://sao.dolgi.msk.ru/account/1404270351/", 1404270351)</f>
        <v>1404270351</v>
      </c>
      <c r="F8009">
        <v>-875.1</v>
      </c>
    </row>
    <row r="8010" spans="1:6" hidden="1" x14ac:dyDescent="0.25">
      <c r="A8010" t="s">
        <v>682</v>
      </c>
      <c r="B8010" t="s">
        <v>683</v>
      </c>
      <c r="E8010" s="3">
        <f>HYPERLINK("https://sao.dolgi.msk.ru/account/1404271338/", 1404271338)</f>
        <v>1404271338</v>
      </c>
      <c r="F8010">
        <v>0</v>
      </c>
    </row>
    <row r="8011" spans="1:6" hidden="1" x14ac:dyDescent="0.25">
      <c r="A8011" t="s">
        <v>682</v>
      </c>
      <c r="B8011" t="s">
        <v>167</v>
      </c>
      <c r="E8011" s="3">
        <f>HYPERLINK("https://sao.dolgi.msk.ru/account/1404270896/", 1404270896)</f>
        <v>1404270896</v>
      </c>
      <c r="F8011">
        <v>-1368.13</v>
      </c>
    </row>
    <row r="8012" spans="1:6" hidden="1" x14ac:dyDescent="0.25">
      <c r="A8012" t="s">
        <v>682</v>
      </c>
      <c r="B8012" t="s">
        <v>168</v>
      </c>
      <c r="E8012" s="3">
        <f>HYPERLINK("https://sao.dolgi.msk.ru/account/1404268155/", 1404268155)</f>
        <v>1404268155</v>
      </c>
      <c r="F8012">
        <v>0</v>
      </c>
    </row>
    <row r="8013" spans="1:6" hidden="1" x14ac:dyDescent="0.25">
      <c r="A8013" t="s">
        <v>682</v>
      </c>
      <c r="B8013" t="s">
        <v>169</v>
      </c>
      <c r="E8013" s="3">
        <f>HYPERLINK("https://sao.dolgi.msk.ru/account/1404269967/", 1404269967)</f>
        <v>1404269967</v>
      </c>
      <c r="F8013">
        <v>-2606.85</v>
      </c>
    </row>
    <row r="8014" spans="1:6" x14ac:dyDescent="0.25">
      <c r="A8014" t="s">
        <v>682</v>
      </c>
      <c r="B8014" t="s">
        <v>170</v>
      </c>
      <c r="C8014" s="5" t="str">
        <f>" кв. "&amp;B8014</f>
        <v xml:space="preserve"> кв. 166</v>
      </c>
      <c r="D8014" s="5" t="str">
        <f>CONCATENATE(A8014,C8014)</f>
        <v>Ленинградское шоссе, дом 112/1 к.1 кв. 166</v>
      </c>
      <c r="E8014" s="3">
        <f>HYPERLINK("https://sao.dolgi.msk.ru/account/1404270909/", 1404270909)</f>
        <v>1404270909</v>
      </c>
      <c r="F8014">
        <v>1274.69</v>
      </c>
    </row>
    <row r="8015" spans="1:6" hidden="1" x14ac:dyDescent="0.25">
      <c r="A8015" t="s">
        <v>682</v>
      </c>
      <c r="B8015" t="s">
        <v>171</v>
      </c>
      <c r="E8015" s="3">
        <f>HYPERLINK("https://sao.dolgi.msk.ru/account/1404268163/", 1404268163)</f>
        <v>1404268163</v>
      </c>
      <c r="F8015">
        <v>0</v>
      </c>
    </row>
    <row r="8016" spans="1:6" hidden="1" x14ac:dyDescent="0.25">
      <c r="A8016" t="s">
        <v>682</v>
      </c>
      <c r="B8016" t="s">
        <v>172</v>
      </c>
      <c r="E8016" s="3">
        <f>HYPERLINK("https://sao.dolgi.msk.ru/account/1404268171/", 1404268171)</f>
        <v>1404268171</v>
      </c>
      <c r="F8016">
        <v>-2616.1</v>
      </c>
    </row>
    <row r="8017" spans="1:6" hidden="1" x14ac:dyDescent="0.25">
      <c r="A8017" t="s">
        <v>682</v>
      </c>
      <c r="B8017" t="s">
        <v>173</v>
      </c>
      <c r="E8017" s="3">
        <f>HYPERLINK("https://sao.dolgi.msk.ru/account/1404268593/", 1404268593)</f>
        <v>1404268593</v>
      </c>
      <c r="F8017">
        <v>0</v>
      </c>
    </row>
    <row r="8018" spans="1:6" x14ac:dyDescent="0.25">
      <c r="A8018" t="s">
        <v>682</v>
      </c>
      <c r="B8018" t="s">
        <v>174</v>
      </c>
      <c r="C8018" s="5" t="str">
        <f t="shared" ref="C8018:C8019" si="336">" кв. "&amp;B8018</f>
        <v xml:space="preserve"> кв. 170</v>
      </c>
      <c r="D8018" s="5" t="str">
        <f>CONCATENATE(A8018,C8018)</f>
        <v>Ленинградское шоссе, дом 112/1 к.1 кв. 170</v>
      </c>
      <c r="E8018" s="3">
        <f>HYPERLINK("https://sao.dolgi.msk.ru/account/1404269975/", 1404269975)</f>
        <v>1404269975</v>
      </c>
      <c r="F8018">
        <v>1281.02</v>
      </c>
    </row>
    <row r="8019" spans="1:6" x14ac:dyDescent="0.25">
      <c r="A8019" t="s">
        <v>682</v>
      </c>
      <c r="B8019" t="s">
        <v>175</v>
      </c>
      <c r="C8019" s="5" t="str">
        <f t="shared" si="336"/>
        <v xml:space="preserve"> кв. 171</v>
      </c>
      <c r="D8019" s="5" t="str">
        <f>CONCATENATE(A8019,C8019)</f>
        <v>Ленинградское шоссе, дом 112/1 к.1 кв. 171</v>
      </c>
      <c r="E8019" s="3">
        <f>HYPERLINK("https://sao.dolgi.msk.ru/account/1404271354/", 1404271354)</f>
        <v>1404271354</v>
      </c>
      <c r="F8019">
        <v>929.92</v>
      </c>
    </row>
    <row r="8020" spans="1:6" hidden="1" x14ac:dyDescent="0.25">
      <c r="A8020" t="s">
        <v>682</v>
      </c>
      <c r="B8020" t="s">
        <v>176</v>
      </c>
      <c r="E8020" s="3">
        <f>HYPERLINK("https://sao.dolgi.msk.ru/account/1404268331/", 1404268331)</f>
        <v>1404268331</v>
      </c>
      <c r="F8020">
        <v>-2629.95</v>
      </c>
    </row>
    <row r="8021" spans="1:6" hidden="1" x14ac:dyDescent="0.25">
      <c r="A8021" t="s">
        <v>682</v>
      </c>
      <c r="B8021" t="s">
        <v>177</v>
      </c>
      <c r="E8021" s="3">
        <f>HYPERLINK("https://sao.dolgi.msk.ru/account/1404268358/", 1404268358)</f>
        <v>1404268358</v>
      </c>
      <c r="F8021">
        <v>-2592.98</v>
      </c>
    </row>
    <row r="8022" spans="1:6" hidden="1" x14ac:dyDescent="0.25">
      <c r="A8022" t="s">
        <v>682</v>
      </c>
      <c r="B8022" t="s">
        <v>178</v>
      </c>
      <c r="E8022" s="3">
        <f>HYPERLINK("https://sao.dolgi.msk.ru/account/1404269131/", 1404269131)</f>
        <v>1404269131</v>
      </c>
      <c r="F8022">
        <v>-1858.07</v>
      </c>
    </row>
    <row r="8023" spans="1:6" hidden="1" x14ac:dyDescent="0.25">
      <c r="A8023" t="s">
        <v>682</v>
      </c>
      <c r="B8023" t="s">
        <v>179</v>
      </c>
      <c r="E8023" s="3">
        <f>HYPERLINK("https://sao.dolgi.msk.ru/account/1404269158/", 1404269158)</f>
        <v>1404269158</v>
      </c>
      <c r="F8023">
        <v>-681.75</v>
      </c>
    </row>
    <row r="8024" spans="1:6" hidden="1" x14ac:dyDescent="0.25">
      <c r="A8024" t="s">
        <v>682</v>
      </c>
      <c r="B8024" t="s">
        <v>180</v>
      </c>
      <c r="E8024" s="3">
        <f>HYPERLINK("https://sao.dolgi.msk.ru/account/1404269721/", 1404269721)</f>
        <v>1404269721</v>
      </c>
      <c r="F8024">
        <v>-1314.98</v>
      </c>
    </row>
    <row r="8025" spans="1:6" hidden="1" x14ac:dyDescent="0.25">
      <c r="A8025" t="s">
        <v>682</v>
      </c>
      <c r="B8025" t="s">
        <v>181</v>
      </c>
      <c r="E8025" s="3">
        <f>HYPERLINK("https://sao.dolgi.msk.ru/account/1404269166/", 1404269166)</f>
        <v>1404269166</v>
      </c>
      <c r="F8025">
        <v>-1958.61</v>
      </c>
    </row>
    <row r="8026" spans="1:6" hidden="1" x14ac:dyDescent="0.25">
      <c r="A8026" t="s">
        <v>682</v>
      </c>
      <c r="B8026" t="s">
        <v>182</v>
      </c>
      <c r="E8026" s="3">
        <f>HYPERLINK("https://sao.dolgi.msk.ru/account/1404270626/", 1404270626)</f>
        <v>1404270626</v>
      </c>
      <c r="F8026">
        <v>-1890.43</v>
      </c>
    </row>
    <row r="8027" spans="1:6" hidden="1" x14ac:dyDescent="0.25">
      <c r="A8027" t="s">
        <v>682</v>
      </c>
      <c r="B8027" t="s">
        <v>183</v>
      </c>
      <c r="E8027" s="3">
        <f>HYPERLINK("https://sao.dolgi.msk.ru/account/1404270108/", 1404270108)</f>
        <v>1404270108</v>
      </c>
      <c r="F8027">
        <v>-2288.8000000000002</v>
      </c>
    </row>
    <row r="8028" spans="1:6" hidden="1" x14ac:dyDescent="0.25">
      <c r="A8028" t="s">
        <v>682</v>
      </c>
      <c r="B8028" t="s">
        <v>184</v>
      </c>
      <c r="E8028" s="3">
        <f>HYPERLINK("https://sao.dolgi.msk.ru/account/1404267996/", 1404267996)</f>
        <v>1404267996</v>
      </c>
      <c r="F8028">
        <v>-1862.7</v>
      </c>
    </row>
    <row r="8029" spans="1:6" x14ac:dyDescent="0.25">
      <c r="A8029" t="s">
        <v>682</v>
      </c>
      <c r="B8029" t="s">
        <v>185</v>
      </c>
      <c r="C8029" s="5" t="str">
        <f t="shared" ref="C8029:C8033" si="337">" кв. "&amp;B8029</f>
        <v xml:space="preserve"> кв. 181</v>
      </c>
      <c r="D8029" s="5" t="str">
        <f>CONCATENATE(A8029,C8029)</f>
        <v>Ленинградское шоссе, дом 112/1 к.1 кв. 181</v>
      </c>
      <c r="E8029" s="3">
        <f>HYPERLINK("https://sao.dolgi.msk.ru/account/1404271098/", 1404271098)</f>
        <v>1404271098</v>
      </c>
      <c r="F8029">
        <v>1499.9</v>
      </c>
    </row>
    <row r="8030" spans="1:6" x14ac:dyDescent="0.25">
      <c r="A8030" t="s">
        <v>682</v>
      </c>
      <c r="B8030" t="s">
        <v>186</v>
      </c>
      <c r="C8030" s="5" t="str">
        <f t="shared" si="337"/>
        <v xml:space="preserve"> кв. 182</v>
      </c>
      <c r="D8030" s="5" t="str">
        <f>CONCATENATE(A8030,C8030)</f>
        <v>Ленинградское шоссе, дом 112/1 к.1 кв. 182</v>
      </c>
      <c r="E8030" s="3">
        <f>HYPERLINK("https://sao.dolgi.msk.ru/account/1404271119/", 1404271119)</f>
        <v>1404271119</v>
      </c>
      <c r="F8030">
        <v>797.65</v>
      </c>
    </row>
    <row r="8031" spans="1:6" x14ac:dyDescent="0.25">
      <c r="A8031" t="s">
        <v>682</v>
      </c>
      <c r="B8031" t="s">
        <v>187</v>
      </c>
      <c r="C8031" s="5" t="str">
        <f t="shared" si="337"/>
        <v xml:space="preserve"> кв. 183</v>
      </c>
      <c r="D8031" s="5" t="str">
        <f>CONCATENATE(A8031,C8031)</f>
        <v>Ленинградское шоссе, дом 112/1 к.1 кв. 183</v>
      </c>
      <c r="E8031" s="3">
        <f>HYPERLINK("https://sao.dolgi.msk.ru/account/1404269182/", 1404269182)</f>
        <v>1404269182</v>
      </c>
      <c r="F8031">
        <v>1073.25</v>
      </c>
    </row>
    <row r="8032" spans="1:6" x14ac:dyDescent="0.25">
      <c r="A8032" t="s">
        <v>682</v>
      </c>
      <c r="B8032" t="s">
        <v>188</v>
      </c>
      <c r="C8032" s="5" t="str">
        <f t="shared" si="337"/>
        <v xml:space="preserve"> кв. 184</v>
      </c>
      <c r="D8032" s="5" t="str">
        <f>CONCATENATE(A8032,C8032)</f>
        <v>Ленинградское шоссе, дом 112/1 к.1 кв. 184</v>
      </c>
      <c r="E8032" s="3">
        <f>HYPERLINK("https://sao.dolgi.msk.ru/account/1404270116/", 1404270116)</f>
        <v>1404270116</v>
      </c>
      <c r="F8032">
        <v>1489.3</v>
      </c>
    </row>
    <row r="8033" spans="1:6" x14ac:dyDescent="0.25">
      <c r="A8033" t="s">
        <v>682</v>
      </c>
      <c r="B8033" t="s">
        <v>189</v>
      </c>
      <c r="C8033" s="5" t="str">
        <f t="shared" si="337"/>
        <v xml:space="preserve"> кв. 185</v>
      </c>
      <c r="D8033" s="5" t="str">
        <f>CONCATENATE(A8033,C8033)</f>
        <v>Ленинградское шоссе, дом 112/1 к.1 кв. 185</v>
      </c>
      <c r="E8033" s="3">
        <f>HYPERLINK("https://sao.dolgi.msk.ru/account/1404270124/", 1404270124)</f>
        <v>1404270124</v>
      </c>
      <c r="F8033">
        <v>1771.28</v>
      </c>
    </row>
    <row r="8034" spans="1:6" hidden="1" x14ac:dyDescent="0.25">
      <c r="A8034" t="s">
        <v>682</v>
      </c>
      <c r="B8034" t="s">
        <v>190</v>
      </c>
      <c r="E8034" s="3">
        <f>HYPERLINK("https://sao.dolgi.msk.ru/account/1404269203/", 1404269203)</f>
        <v>1404269203</v>
      </c>
      <c r="F8034">
        <v>-688.68</v>
      </c>
    </row>
    <row r="8035" spans="1:6" x14ac:dyDescent="0.25">
      <c r="A8035" t="s">
        <v>682</v>
      </c>
      <c r="B8035" t="s">
        <v>191</v>
      </c>
      <c r="C8035" s="5" t="str">
        <f t="shared" ref="C8035:C8036" si="338">" кв. "&amp;B8035</f>
        <v xml:space="preserve"> кв. 187</v>
      </c>
      <c r="D8035" s="5" t="str">
        <f>CONCATENATE(A8035,C8035)</f>
        <v>Ленинградское шоссе, дом 112/1 к.1 кв. 187</v>
      </c>
      <c r="E8035" s="3">
        <f>HYPERLINK("https://sao.dolgi.msk.ru/account/1404269553/", 1404269553)</f>
        <v>1404269553</v>
      </c>
      <c r="F8035">
        <v>640.51</v>
      </c>
    </row>
    <row r="8036" spans="1:6" x14ac:dyDescent="0.25">
      <c r="A8036" t="s">
        <v>682</v>
      </c>
      <c r="B8036" t="s">
        <v>191</v>
      </c>
      <c r="C8036" s="5" t="str">
        <f t="shared" si="338"/>
        <v xml:space="preserve"> кв. 187</v>
      </c>
      <c r="D8036" s="5" t="str">
        <f>CONCATENATE(A8036,C8036)</f>
        <v>Ленинградское шоссе, дом 112/1 к.1 кв. 187</v>
      </c>
      <c r="E8036" s="3">
        <f>HYPERLINK("https://sao.dolgi.msk.ru/account/1404270132/", 1404270132)</f>
        <v>1404270132</v>
      </c>
      <c r="F8036">
        <v>640.51</v>
      </c>
    </row>
    <row r="8037" spans="1:6" hidden="1" x14ac:dyDescent="0.25">
      <c r="A8037" t="s">
        <v>682</v>
      </c>
      <c r="B8037" t="s">
        <v>192</v>
      </c>
      <c r="E8037" s="3">
        <f>HYPERLINK("https://sao.dolgi.msk.ru/account/1404270634/", 1404270634)</f>
        <v>1404270634</v>
      </c>
      <c r="F8037">
        <v>-2179.8200000000002</v>
      </c>
    </row>
    <row r="8038" spans="1:6" hidden="1" x14ac:dyDescent="0.25">
      <c r="A8038" t="s">
        <v>682</v>
      </c>
      <c r="B8038" t="s">
        <v>193</v>
      </c>
      <c r="E8038" s="3">
        <f>HYPERLINK("https://sao.dolgi.msk.ru/account/1404269211/", 1404269211)</f>
        <v>1404269211</v>
      </c>
      <c r="F8038">
        <v>-2214.85</v>
      </c>
    </row>
    <row r="8039" spans="1:6" hidden="1" x14ac:dyDescent="0.25">
      <c r="A8039" t="s">
        <v>682</v>
      </c>
      <c r="B8039" t="s">
        <v>194</v>
      </c>
      <c r="E8039" s="3">
        <f>HYPERLINK("https://sao.dolgi.msk.ru/account/1404271127/", 1404271127)</f>
        <v>1404271127</v>
      </c>
      <c r="F8039">
        <v>-1437.47</v>
      </c>
    </row>
    <row r="8040" spans="1:6" hidden="1" x14ac:dyDescent="0.25">
      <c r="A8040" t="s">
        <v>682</v>
      </c>
      <c r="B8040" t="s">
        <v>195</v>
      </c>
      <c r="E8040" s="3">
        <f>HYPERLINK("https://sao.dolgi.msk.ru/account/1404271135/", 1404271135)</f>
        <v>1404271135</v>
      </c>
      <c r="F8040">
        <v>-961.41</v>
      </c>
    </row>
    <row r="8041" spans="1:6" hidden="1" x14ac:dyDescent="0.25">
      <c r="A8041" t="s">
        <v>682</v>
      </c>
      <c r="B8041" t="s">
        <v>196</v>
      </c>
      <c r="E8041" s="3">
        <f>HYPERLINK("https://sao.dolgi.msk.ru/account/1404269756/", 1404269756)</f>
        <v>1404269756</v>
      </c>
      <c r="F8041">
        <v>0</v>
      </c>
    </row>
    <row r="8042" spans="1:6" hidden="1" x14ac:dyDescent="0.25">
      <c r="A8042" t="s">
        <v>682</v>
      </c>
      <c r="B8042" t="s">
        <v>197</v>
      </c>
      <c r="E8042" s="3">
        <f>HYPERLINK("https://sao.dolgi.msk.ru/account/1404268729/", 1404268729)</f>
        <v>1404268729</v>
      </c>
      <c r="F8042">
        <v>-5734.84</v>
      </c>
    </row>
    <row r="8043" spans="1:6" hidden="1" x14ac:dyDescent="0.25">
      <c r="A8043" t="s">
        <v>682</v>
      </c>
      <c r="B8043" t="s">
        <v>198</v>
      </c>
      <c r="E8043" s="3">
        <f>HYPERLINK("https://sao.dolgi.msk.ru/account/1404268307/", 1404268307)</f>
        <v>1404268307</v>
      </c>
      <c r="F8043">
        <v>-1418.98</v>
      </c>
    </row>
    <row r="8044" spans="1:6" hidden="1" x14ac:dyDescent="0.25">
      <c r="A8044" t="s">
        <v>682</v>
      </c>
      <c r="B8044" t="s">
        <v>199</v>
      </c>
      <c r="E8044" s="3">
        <f>HYPERLINK("https://sao.dolgi.msk.ru/account/1404269676/", 1404269676)</f>
        <v>1404269676</v>
      </c>
      <c r="F8044">
        <v>0</v>
      </c>
    </row>
    <row r="8045" spans="1:6" hidden="1" x14ac:dyDescent="0.25">
      <c r="A8045" t="s">
        <v>682</v>
      </c>
      <c r="B8045" t="s">
        <v>200</v>
      </c>
      <c r="E8045" s="3">
        <f>HYPERLINK("https://sao.dolgi.msk.ru/account/1404268315/", 1404268315)</f>
        <v>1404268315</v>
      </c>
      <c r="F8045">
        <v>-2643.82</v>
      </c>
    </row>
    <row r="8046" spans="1:6" hidden="1" x14ac:dyDescent="0.25">
      <c r="A8046" t="s">
        <v>682</v>
      </c>
      <c r="B8046" t="s">
        <v>201</v>
      </c>
      <c r="E8046" s="3">
        <f>HYPERLINK("https://sao.dolgi.msk.ru/account/1404271055/", 1404271055)</f>
        <v>1404271055</v>
      </c>
      <c r="F8046">
        <v>-2643.82</v>
      </c>
    </row>
    <row r="8047" spans="1:6" x14ac:dyDescent="0.25">
      <c r="A8047" t="s">
        <v>682</v>
      </c>
      <c r="B8047" t="s">
        <v>202</v>
      </c>
      <c r="C8047" s="5" t="str">
        <f>" кв. "&amp;B8047</f>
        <v xml:space="preserve"> кв. 198</v>
      </c>
      <c r="D8047" s="5" t="str">
        <f>CONCATENATE(A8047,C8047)</f>
        <v>Ленинградское шоссе, дом 112/1 к.1 кв. 198</v>
      </c>
      <c r="E8047" s="3">
        <f>HYPERLINK("https://sao.dolgi.msk.ru/account/1404269684/", 1404269684)</f>
        <v>1404269684</v>
      </c>
      <c r="F8047">
        <v>964.72</v>
      </c>
    </row>
    <row r="8048" spans="1:6" hidden="1" x14ac:dyDescent="0.25">
      <c r="A8048" t="s">
        <v>682</v>
      </c>
      <c r="B8048" t="s">
        <v>203</v>
      </c>
      <c r="E8048" s="3">
        <f>HYPERLINK("https://sao.dolgi.msk.ru/account/1404270618/", 1404270618)</f>
        <v>1404270618</v>
      </c>
      <c r="F8048">
        <v>-1881.18</v>
      </c>
    </row>
    <row r="8049" spans="1:6" x14ac:dyDescent="0.25">
      <c r="A8049" t="s">
        <v>682</v>
      </c>
      <c r="B8049" t="s">
        <v>204</v>
      </c>
      <c r="C8049" s="5" t="str">
        <f>" кв. "&amp;B8049</f>
        <v xml:space="preserve"> кв. 200</v>
      </c>
      <c r="D8049" s="5" t="str">
        <f>CONCATENATE(A8049,C8049)</f>
        <v>Ленинградское шоссе, дом 112/1 к.1 кв. 200</v>
      </c>
      <c r="E8049" s="3">
        <f>HYPERLINK("https://sao.dolgi.msk.ru/account/1404271063/", 1404271063)</f>
        <v>1404271063</v>
      </c>
      <c r="F8049">
        <v>904.62</v>
      </c>
    </row>
    <row r="8050" spans="1:6" hidden="1" x14ac:dyDescent="0.25">
      <c r="A8050" t="s">
        <v>682</v>
      </c>
      <c r="B8050" t="s">
        <v>205</v>
      </c>
      <c r="E8050" s="3">
        <f>HYPERLINK("https://sao.dolgi.msk.ru/account/1404269692/", 1404269692)</f>
        <v>1404269692</v>
      </c>
      <c r="F8050">
        <v>-4651.87</v>
      </c>
    </row>
    <row r="8051" spans="1:6" x14ac:dyDescent="0.25">
      <c r="A8051" t="s">
        <v>682</v>
      </c>
      <c r="B8051" t="s">
        <v>206</v>
      </c>
      <c r="C8051" s="5" t="str">
        <f t="shared" ref="C8051:C8053" si="339">" кв. "&amp;B8051</f>
        <v xml:space="preserve"> кв. 202</v>
      </c>
      <c r="D8051" s="5" t="str">
        <f>CONCATENATE(A8051,C8051)</f>
        <v>Ленинградское шоссе, дом 112/1 к.1 кв. 202</v>
      </c>
      <c r="E8051" s="3">
        <f>HYPERLINK("https://sao.dolgi.msk.ru/account/1404269705/", 1404269705)</f>
        <v>1404269705</v>
      </c>
      <c r="F8051">
        <v>958.39</v>
      </c>
    </row>
    <row r="8052" spans="1:6" x14ac:dyDescent="0.25">
      <c r="A8052" t="s">
        <v>682</v>
      </c>
      <c r="B8052" t="s">
        <v>207</v>
      </c>
      <c r="C8052" s="5" t="str">
        <f t="shared" si="339"/>
        <v xml:space="preserve"> кв. 203</v>
      </c>
      <c r="D8052" s="5" t="str">
        <f>CONCATENATE(A8052,C8052)</f>
        <v>Ленинградское шоссе, дом 112/1 к.1 кв. 203</v>
      </c>
      <c r="E8052" s="3">
        <f>HYPERLINK("https://sao.dolgi.msk.ru/account/1404269713/", 1404269713)</f>
        <v>1404269713</v>
      </c>
      <c r="F8052">
        <v>1274.69</v>
      </c>
    </row>
    <row r="8053" spans="1:6" x14ac:dyDescent="0.25">
      <c r="A8053" t="s">
        <v>682</v>
      </c>
      <c r="B8053" t="s">
        <v>208</v>
      </c>
      <c r="C8053" s="5" t="str">
        <f t="shared" si="339"/>
        <v xml:space="preserve"> кв. 204</v>
      </c>
      <c r="D8053" s="5" t="str">
        <f>CONCATENATE(A8053,C8053)</f>
        <v>Ленинградское шоссе, дом 112/1 к.1 кв. 204</v>
      </c>
      <c r="E8053" s="3">
        <f>HYPERLINK("https://sao.dolgi.msk.ru/account/1404271071/", 1404271071)</f>
        <v>1404271071</v>
      </c>
      <c r="F8053">
        <v>1799.75</v>
      </c>
    </row>
    <row r="8054" spans="1:6" hidden="1" x14ac:dyDescent="0.25">
      <c r="A8054" t="s">
        <v>682</v>
      </c>
      <c r="B8054" t="s">
        <v>209</v>
      </c>
      <c r="E8054" s="3">
        <f>HYPERLINK("https://sao.dolgi.msk.ru/account/1404269641/", 1404269641)</f>
        <v>1404269641</v>
      </c>
      <c r="F8054">
        <v>-2588.36</v>
      </c>
    </row>
    <row r="8055" spans="1:6" hidden="1" x14ac:dyDescent="0.25">
      <c r="A8055" t="s">
        <v>682</v>
      </c>
      <c r="B8055" t="s">
        <v>210</v>
      </c>
      <c r="E8055" s="3">
        <f>HYPERLINK("https://sao.dolgi.msk.ru/account/1404270562/", 1404270562)</f>
        <v>1404270562</v>
      </c>
      <c r="F8055">
        <v>-442.1</v>
      </c>
    </row>
    <row r="8056" spans="1:6" hidden="1" x14ac:dyDescent="0.25">
      <c r="A8056" t="s">
        <v>682</v>
      </c>
      <c r="B8056" t="s">
        <v>211</v>
      </c>
      <c r="E8056" s="3">
        <f>HYPERLINK("https://sao.dolgi.msk.ru/account/1404268286/", 1404268286)</f>
        <v>1404268286</v>
      </c>
      <c r="F8056">
        <v>-926.72</v>
      </c>
    </row>
    <row r="8057" spans="1:6" hidden="1" x14ac:dyDescent="0.25">
      <c r="A8057" t="s">
        <v>682</v>
      </c>
      <c r="B8057" t="s">
        <v>212</v>
      </c>
      <c r="E8057" s="3">
        <f>HYPERLINK("https://sao.dolgi.msk.ru/account/1404268294/", 1404268294)</f>
        <v>1404268294</v>
      </c>
      <c r="F8057">
        <v>0</v>
      </c>
    </row>
    <row r="8058" spans="1:6" hidden="1" x14ac:dyDescent="0.25">
      <c r="A8058" t="s">
        <v>682</v>
      </c>
      <c r="B8058" t="s">
        <v>213</v>
      </c>
      <c r="E8058" s="3">
        <f>HYPERLINK("https://sao.dolgi.msk.ru/account/1404269668/", 1404269668)</f>
        <v>1404269668</v>
      </c>
      <c r="F8058">
        <v>0</v>
      </c>
    </row>
    <row r="8059" spans="1:6" x14ac:dyDescent="0.25">
      <c r="A8059" t="s">
        <v>682</v>
      </c>
      <c r="B8059" t="s">
        <v>214</v>
      </c>
      <c r="C8059" s="5" t="str">
        <f>" кв. "&amp;B8059</f>
        <v xml:space="preserve"> кв. 210</v>
      </c>
      <c r="D8059" s="5" t="str">
        <f>CONCATENATE(A8059,C8059)</f>
        <v>Ленинградское шоссе, дом 112/1 к.1 кв. 210</v>
      </c>
      <c r="E8059" s="3">
        <f>HYPERLINK("https://sao.dolgi.msk.ru/account/1404268681/", 1404268681)</f>
        <v>1404268681</v>
      </c>
      <c r="F8059">
        <v>967.88</v>
      </c>
    </row>
    <row r="8060" spans="1:6" hidden="1" x14ac:dyDescent="0.25">
      <c r="A8060" t="s">
        <v>682</v>
      </c>
      <c r="B8060" t="s">
        <v>215</v>
      </c>
      <c r="E8060" s="3">
        <f>HYPERLINK("https://sao.dolgi.msk.ru/account/1404269617/", 1404269617)</f>
        <v>1404269617</v>
      </c>
      <c r="F8060">
        <v>0</v>
      </c>
    </row>
    <row r="8061" spans="1:6" hidden="1" x14ac:dyDescent="0.25">
      <c r="A8061" t="s">
        <v>682</v>
      </c>
      <c r="B8061" t="s">
        <v>215</v>
      </c>
      <c r="E8061" s="3">
        <f>HYPERLINK("https://sao.dolgi.msk.ru/account/1404270415/", 1404270415)</f>
        <v>1404270415</v>
      </c>
      <c r="F8061">
        <v>0</v>
      </c>
    </row>
    <row r="8062" spans="1:6" hidden="1" x14ac:dyDescent="0.25">
      <c r="A8062" t="s">
        <v>682</v>
      </c>
      <c r="B8062" t="s">
        <v>216</v>
      </c>
      <c r="E8062" s="3">
        <f>HYPERLINK("https://sao.dolgi.msk.ru/account/1404269625/", 1404269625)</f>
        <v>1404269625</v>
      </c>
      <c r="F8062">
        <v>-606.08000000000004</v>
      </c>
    </row>
    <row r="8063" spans="1:6" hidden="1" x14ac:dyDescent="0.25">
      <c r="A8063" t="s">
        <v>682</v>
      </c>
      <c r="B8063" t="s">
        <v>216</v>
      </c>
      <c r="E8063" s="3">
        <f>HYPERLINK("https://sao.dolgi.msk.ru/account/1404271039/", 1404271039)</f>
        <v>1404271039</v>
      </c>
      <c r="F8063">
        <v>-2000.75</v>
      </c>
    </row>
    <row r="8064" spans="1:6" x14ac:dyDescent="0.25">
      <c r="A8064" t="s">
        <v>682</v>
      </c>
      <c r="B8064" t="s">
        <v>217</v>
      </c>
      <c r="C8064" s="5" t="str">
        <f>" кв. "&amp;B8064</f>
        <v xml:space="preserve"> кв. 213</v>
      </c>
      <c r="D8064" s="5" t="str">
        <f>CONCATENATE(A8064,C8064)</f>
        <v>Ленинградское шоссе, дом 112/1 к.1 кв. 213</v>
      </c>
      <c r="E8064" s="3">
        <f>HYPERLINK("https://sao.dolgi.msk.ru/account/1404269123/", 1404269123)</f>
        <v>1404269123</v>
      </c>
      <c r="F8064">
        <v>1761.79</v>
      </c>
    </row>
    <row r="8065" spans="1:6" hidden="1" x14ac:dyDescent="0.25">
      <c r="A8065" t="s">
        <v>682</v>
      </c>
      <c r="B8065" t="s">
        <v>218</v>
      </c>
      <c r="E8065" s="3">
        <f>HYPERLINK("https://sao.dolgi.msk.ru/account/1404268702/", 1404268702)</f>
        <v>1404268702</v>
      </c>
      <c r="F8065">
        <v>-440.64</v>
      </c>
    </row>
    <row r="8066" spans="1:6" hidden="1" x14ac:dyDescent="0.25">
      <c r="A8066" t="s">
        <v>682</v>
      </c>
      <c r="B8066" t="s">
        <v>219</v>
      </c>
      <c r="E8066" s="3">
        <f>HYPERLINK("https://sao.dolgi.msk.ru/account/1404269633/", 1404269633)</f>
        <v>1404269633</v>
      </c>
      <c r="F8066">
        <v>-1904.3</v>
      </c>
    </row>
    <row r="8067" spans="1:6" x14ac:dyDescent="0.25">
      <c r="A8067" t="s">
        <v>682</v>
      </c>
      <c r="B8067" t="s">
        <v>220</v>
      </c>
      <c r="C8067" s="5" t="str">
        <f>" кв. "&amp;B8067</f>
        <v xml:space="preserve"> кв. 216</v>
      </c>
      <c r="D8067" s="5" t="str">
        <f>CONCATENATE(A8067,C8067)</f>
        <v>Ленинградское шоссе, дом 112/1 к.1 кв. 216</v>
      </c>
      <c r="E8067" s="3">
        <f>HYPERLINK("https://sao.dolgi.msk.ru/account/1404270095/", 1404270095)</f>
        <v>1404270095</v>
      </c>
      <c r="F8067">
        <v>1799.75</v>
      </c>
    </row>
    <row r="8068" spans="1:6" hidden="1" x14ac:dyDescent="0.25">
      <c r="A8068" t="s">
        <v>682</v>
      </c>
      <c r="B8068" t="s">
        <v>221</v>
      </c>
      <c r="E8068" s="3">
        <f>HYPERLINK("https://sao.dolgi.msk.ru/account/1404267961/", 1404267961)</f>
        <v>1404267961</v>
      </c>
      <c r="F8068">
        <v>-2350.38</v>
      </c>
    </row>
    <row r="8069" spans="1:6" x14ac:dyDescent="0.25">
      <c r="A8069" t="s">
        <v>682</v>
      </c>
      <c r="B8069" t="s">
        <v>222</v>
      </c>
      <c r="C8069" s="5" t="str">
        <f>" кв. "&amp;B8069</f>
        <v xml:space="preserve"> кв. 218</v>
      </c>
      <c r="D8069" s="5" t="str">
        <f>CONCATENATE(A8069,C8069)</f>
        <v>Ленинградское шоссе, дом 112/1 к.1 кв. 218</v>
      </c>
      <c r="E8069" s="3">
        <f>HYPERLINK("https://sao.dolgi.msk.ru/account/1404267953/", 1404267953)</f>
        <v>1404267953</v>
      </c>
      <c r="F8069">
        <v>396.17</v>
      </c>
    </row>
    <row r="8070" spans="1:6" hidden="1" x14ac:dyDescent="0.25">
      <c r="A8070" t="s">
        <v>682</v>
      </c>
      <c r="B8070" t="s">
        <v>223</v>
      </c>
      <c r="E8070" s="3">
        <f>HYPERLINK("https://sao.dolgi.msk.ru/account/1404270984/", 1404270984)</f>
        <v>1404270984</v>
      </c>
      <c r="F8070">
        <v>-1544.1</v>
      </c>
    </row>
    <row r="8071" spans="1:6" hidden="1" x14ac:dyDescent="0.25">
      <c r="A8071" t="s">
        <v>682</v>
      </c>
      <c r="B8071" t="s">
        <v>224</v>
      </c>
      <c r="E8071" s="3">
        <f>HYPERLINK("https://sao.dolgi.msk.ru/account/1404269107/", 1404269107)</f>
        <v>1404269107</v>
      </c>
      <c r="F8071">
        <v>-1208.06</v>
      </c>
    </row>
    <row r="8072" spans="1:6" hidden="1" x14ac:dyDescent="0.25">
      <c r="A8072" t="s">
        <v>682</v>
      </c>
      <c r="B8072" t="s">
        <v>225</v>
      </c>
      <c r="E8072" s="3">
        <f>HYPERLINK("https://sao.dolgi.msk.ru/account/1404270554/", 1404270554)</f>
        <v>1404270554</v>
      </c>
      <c r="F8072">
        <v>-1696.83</v>
      </c>
    </row>
    <row r="8073" spans="1:6" hidden="1" x14ac:dyDescent="0.25">
      <c r="A8073" t="s">
        <v>682</v>
      </c>
      <c r="B8073" t="s">
        <v>226</v>
      </c>
      <c r="E8073" s="3">
        <f>HYPERLINK("https://sao.dolgi.msk.ru/account/1404270992/", 1404270992)</f>
        <v>1404270992</v>
      </c>
      <c r="F8073">
        <v>-1372.75</v>
      </c>
    </row>
    <row r="8074" spans="1:6" hidden="1" x14ac:dyDescent="0.25">
      <c r="A8074" t="s">
        <v>682</v>
      </c>
      <c r="B8074" t="s">
        <v>227</v>
      </c>
      <c r="E8074" s="3">
        <f>HYPERLINK("https://sao.dolgi.msk.ru/account/1404269115/", 1404269115)</f>
        <v>1404269115</v>
      </c>
      <c r="F8074">
        <v>-1895.05</v>
      </c>
    </row>
    <row r="8075" spans="1:6" hidden="1" x14ac:dyDescent="0.25">
      <c r="A8075" t="s">
        <v>682</v>
      </c>
      <c r="B8075" t="s">
        <v>228</v>
      </c>
      <c r="E8075" s="3">
        <f>HYPERLINK("https://sao.dolgi.msk.ru/account/1404271004/", 1404271004)</f>
        <v>1404271004</v>
      </c>
      <c r="F8075">
        <v>-1132.71</v>
      </c>
    </row>
    <row r="8076" spans="1:6" x14ac:dyDescent="0.25">
      <c r="A8076" t="s">
        <v>682</v>
      </c>
      <c r="B8076" t="s">
        <v>229</v>
      </c>
      <c r="C8076" s="5" t="str">
        <f>" кв. "&amp;B8076</f>
        <v xml:space="preserve"> кв. 225</v>
      </c>
      <c r="D8076" s="5" t="str">
        <f>CONCATENATE(A8076,C8076)</f>
        <v>Ленинградское шоссе, дом 112/1 к.1 кв. 225</v>
      </c>
      <c r="E8076" s="3">
        <f>HYPERLINK("https://sao.dolgi.msk.ru/account/1404270079/", 1404270079)</f>
        <v>1404270079</v>
      </c>
      <c r="F8076">
        <v>1500.14</v>
      </c>
    </row>
    <row r="8077" spans="1:6" hidden="1" x14ac:dyDescent="0.25">
      <c r="A8077" t="s">
        <v>682</v>
      </c>
      <c r="B8077" t="s">
        <v>230</v>
      </c>
      <c r="E8077" s="3">
        <f>HYPERLINK("https://sao.dolgi.msk.ru/account/1404268251/", 1404268251)</f>
        <v>1404268251</v>
      </c>
      <c r="F8077">
        <v>0</v>
      </c>
    </row>
    <row r="8078" spans="1:6" hidden="1" x14ac:dyDescent="0.25">
      <c r="A8078" t="s">
        <v>682</v>
      </c>
      <c r="B8078" t="s">
        <v>231</v>
      </c>
      <c r="E8078" s="3">
        <f>HYPERLINK("https://sao.dolgi.msk.ru/account/1404268278/", 1404268278)</f>
        <v>1404268278</v>
      </c>
      <c r="F8078">
        <v>-1890.43</v>
      </c>
    </row>
    <row r="8079" spans="1:6" hidden="1" x14ac:dyDescent="0.25">
      <c r="A8079" t="s">
        <v>682</v>
      </c>
      <c r="B8079" t="s">
        <v>232</v>
      </c>
      <c r="E8079" s="3">
        <f>HYPERLINK("https://sao.dolgi.msk.ru/account/1404271012/", 1404271012)</f>
        <v>1404271012</v>
      </c>
      <c r="F8079">
        <v>-1927.41</v>
      </c>
    </row>
    <row r="8080" spans="1:6" x14ac:dyDescent="0.25">
      <c r="A8080" t="s">
        <v>682</v>
      </c>
      <c r="B8080" t="s">
        <v>233</v>
      </c>
      <c r="C8080" s="5" t="str">
        <f>" кв. "&amp;B8080</f>
        <v xml:space="preserve"> кв. 229</v>
      </c>
      <c r="D8080" s="5" t="str">
        <f>CONCATENATE(A8080,C8080)</f>
        <v>Ленинградское шоссе, дом 112/1 к.1 кв. 229</v>
      </c>
      <c r="E8080" s="3">
        <f>HYPERLINK("https://sao.dolgi.msk.ru/account/1404270087/", 1404270087)</f>
        <v>1404270087</v>
      </c>
      <c r="F8080">
        <v>1799.74</v>
      </c>
    </row>
    <row r="8081" spans="1:6" hidden="1" x14ac:dyDescent="0.25">
      <c r="A8081" t="s">
        <v>682</v>
      </c>
      <c r="B8081" t="s">
        <v>234</v>
      </c>
      <c r="E8081" s="3">
        <f>HYPERLINK("https://sao.dolgi.msk.ru/account/1404269449/", 1404269449)</f>
        <v>1404269449</v>
      </c>
      <c r="F8081">
        <v>-1395.87</v>
      </c>
    </row>
    <row r="8082" spans="1:6" x14ac:dyDescent="0.25">
      <c r="A8082" t="s">
        <v>682</v>
      </c>
      <c r="B8082" t="s">
        <v>235</v>
      </c>
      <c r="C8082" s="5" t="str">
        <f>" кв. "&amp;B8082</f>
        <v xml:space="preserve"> кв. 231</v>
      </c>
      <c r="D8082" s="5" t="str">
        <f>CONCATENATE(A8082,C8082)</f>
        <v>Ленинградское шоссе, дом 112/1 к.1 кв. 231</v>
      </c>
      <c r="E8082" s="3">
        <f>HYPERLINK("https://sao.dolgi.msk.ru/account/1404268913/", 1404268913)</f>
        <v>1404268913</v>
      </c>
      <c r="F8082">
        <v>1296.83</v>
      </c>
    </row>
    <row r="8083" spans="1:6" hidden="1" x14ac:dyDescent="0.25">
      <c r="A8083" t="s">
        <v>682</v>
      </c>
      <c r="B8083" t="s">
        <v>239</v>
      </c>
      <c r="E8083" s="3">
        <f>HYPERLINK("https://sao.dolgi.msk.ru/account/1404270378/", 1404270378)</f>
        <v>1404270378</v>
      </c>
      <c r="F8083">
        <v>-1326.52</v>
      </c>
    </row>
    <row r="8084" spans="1:6" hidden="1" x14ac:dyDescent="0.25">
      <c r="A8084" t="s">
        <v>682</v>
      </c>
      <c r="B8084" t="s">
        <v>240</v>
      </c>
      <c r="E8084" s="3">
        <f>HYPERLINK("https://sao.dolgi.msk.ru/account/1404269457/", 1404269457)</f>
        <v>1404269457</v>
      </c>
      <c r="F8084">
        <v>-2222.63</v>
      </c>
    </row>
    <row r="8085" spans="1:6" hidden="1" x14ac:dyDescent="0.25">
      <c r="A8085" t="s">
        <v>682</v>
      </c>
      <c r="B8085" t="s">
        <v>241</v>
      </c>
      <c r="E8085" s="3">
        <f>HYPERLINK("https://sao.dolgi.msk.ru/account/1404271282/", 1404271282)</f>
        <v>1404271282</v>
      </c>
      <c r="F8085">
        <v>-1391.24</v>
      </c>
    </row>
    <row r="8086" spans="1:6" hidden="1" x14ac:dyDescent="0.25">
      <c r="A8086" t="s">
        <v>682</v>
      </c>
      <c r="B8086" t="s">
        <v>242</v>
      </c>
      <c r="E8086" s="3">
        <f>HYPERLINK("https://sao.dolgi.msk.ru/account/1404270597/", 1404270597)</f>
        <v>1404270597</v>
      </c>
      <c r="F8086">
        <v>-1890.43</v>
      </c>
    </row>
    <row r="8087" spans="1:6" x14ac:dyDescent="0.25">
      <c r="A8087" t="s">
        <v>682</v>
      </c>
      <c r="B8087" t="s">
        <v>243</v>
      </c>
      <c r="C8087" s="5" t="str">
        <f t="shared" ref="C8087:C8088" si="340">" кв. "&amp;B8087</f>
        <v xml:space="preserve"> кв. 236</v>
      </c>
      <c r="D8087" s="5" t="str">
        <f>CONCATENATE(A8087,C8087)</f>
        <v>Ленинградское шоссе, дом 112/1 к.1 кв. 236</v>
      </c>
      <c r="E8087" s="3">
        <f>HYPERLINK("https://sao.dolgi.msk.ru/account/1404269465/", 1404269465)</f>
        <v>1404269465</v>
      </c>
      <c r="F8087">
        <v>1802.91</v>
      </c>
    </row>
    <row r="8088" spans="1:6" x14ac:dyDescent="0.25">
      <c r="A8088" t="s">
        <v>682</v>
      </c>
      <c r="B8088" t="s">
        <v>244</v>
      </c>
      <c r="C8088" s="5" t="str">
        <f t="shared" si="340"/>
        <v xml:space="preserve"> кв. 237</v>
      </c>
      <c r="D8088" s="5" t="str">
        <f>CONCATENATE(A8088,C8088)</f>
        <v>Ленинградское шоссе, дом 112/1 к.1 кв. 237</v>
      </c>
      <c r="E8088" s="3">
        <f>HYPERLINK("https://sao.dolgi.msk.ru/account/1404269908/", 1404269908)</f>
        <v>1404269908</v>
      </c>
      <c r="F8088">
        <v>1812.4</v>
      </c>
    </row>
    <row r="8089" spans="1:6" hidden="1" x14ac:dyDescent="0.25">
      <c r="A8089" t="s">
        <v>682</v>
      </c>
      <c r="B8089" t="s">
        <v>245</v>
      </c>
      <c r="E8089" s="3">
        <f>HYPERLINK("https://sao.dolgi.msk.ru/account/1404270845/", 1404270845)</f>
        <v>1404270845</v>
      </c>
      <c r="F8089">
        <v>-1395.87</v>
      </c>
    </row>
    <row r="8090" spans="1:6" hidden="1" x14ac:dyDescent="0.25">
      <c r="A8090" t="s">
        <v>682</v>
      </c>
      <c r="B8090" t="s">
        <v>246</v>
      </c>
      <c r="E8090" s="3">
        <f>HYPERLINK("https://sao.dolgi.msk.ru/account/1404268921/", 1404268921)</f>
        <v>1404268921</v>
      </c>
      <c r="F8090">
        <v>-1904.3</v>
      </c>
    </row>
    <row r="8091" spans="1:6" hidden="1" x14ac:dyDescent="0.25">
      <c r="A8091" t="s">
        <v>682</v>
      </c>
      <c r="B8091" t="s">
        <v>247</v>
      </c>
      <c r="E8091" s="3">
        <f>HYPERLINK("https://sao.dolgi.msk.ru/account/1404269481/", 1404269481)</f>
        <v>1404269481</v>
      </c>
      <c r="F8091">
        <v>-2226.52</v>
      </c>
    </row>
    <row r="8092" spans="1:6" hidden="1" x14ac:dyDescent="0.25">
      <c r="A8092" t="s">
        <v>682</v>
      </c>
      <c r="B8092" t="s">
        <v>248</v>
      </c>
      <c r="E8092" s="3">
        <f>HYPERLINK("https://sao.dolgi.msk.ru/account/1404268518/", 1404268518)</f>
        <v>1404268518</v>
      </c>
      <c r="F8092">
        <v>-2625.34</v>
      </c>
    </row>
    <row r="8093" spans="1:6" x14ac:dyDescent="0.25">
      <c r="A8093" t="s">
        <v>682</v>
      </c>
      <c r="B8093" t="s">
        <v>249</v>
      </c>
      <c r="C8093" s="5" t="str">
        <f>" кв. "&amp;B8093</f>
        <v xml:space="preserve"> кв. 242</v>
      </c>
      <c r="D8093" s="5" t="str">
        <f>CONCATENATE(A8093,C8093)</f>
        <v>Ленинградское шоссе, дом 112/1 к.1 кв. 242</v>
      </c>
      <c r="E8093" s="3">
        <f>HYPERLINK("https://sao.dolgi.msk.ru/account/1404268948/", 1404268948)</f>
        <v>1404268948</v>
      </c>
      <c r="F8093">
        <v>942.57</v>
      </c>
    </row>
    <row r="8094" spans="1:6" hidden="1" x14ac:dyDescent="0.25">
      <c r="A8094" t="s">
        <v>682</v>
      </c>
      <c r="B8094" t="s">
        <v>250</v>
      </c>
      <c r="E8094" s="3">
        <f>HYPERLINK("https://sao.dolgi.msk.ru/account/1404270386/", 1404270386)</f>
        <v>1404270386</v>
      </c>
      <c r="F8094">
        <v>-1885.8</v>
      </c>
    </row>
    <row r="8095" spans="1:6" hidden="1" x14ac:dyDescent="0.25">
      <c r="A8095" t="s">
        <v>682</v>
      </c>
      <c r="B8095" t="s">
        <v>251</v>
      </c>
      <c r="E8095" s="3">
        <f>HYPERLINK("https://sao.dolgi.msk.ru/account/1404270853/", 1404270853)</f>
        <v>1404270853</v>
      </c>
      <c r="F8095">
        <v>-2634.57</v>
      </c>
    </row>
    <row r="8096" spans="1:6" x14ac:dyDescent="0.25">
      <c r="A8096" t="s">
        <v>682</v>
      </c>
      <c r="B8096" t="s">
        <v>252</v>
      </c>
      <c r="C8096" s="5" t="str">
        <f>" кв. "&amp;B8096</f>
        <v xml:space="preserve"> кв. 245</v>
      </c>
      <c r="D8096" s="5" t="str">
        <f>CONCATENATE(A8096,C8096)</f>
        <v>Ленинградское шоссе, дом 112/1 к.1 кв. 245</v>
      </c>
      <c r="E8096" s="3">
        <f>HYPERLINK("https://sao.dolgi.msk.ru/account/1404268526/", 1404268526)</f>
        <v>1404268526</v>
      </c>
      <c r="F8096">
        <v>1815.56</v>
      </c>
    </row>
    <row r="8097" spans="1:6" hidden="1" x14ac:dyDescent="0.25">
      <c r="A8097" t="s">
        <v>682</v>
      </c>
      <c r="B8097" t="s">
        <v>253</v>
      </c>
      <c r="E8097" s="3">
        <f>HYPERLINK("https://sao.dolgi.msk.ru/account/1404270394/", 1404270394)</f>
        <v>1404270394</v>
      </c>
      <c r="F8097">
        <v>-1175.55</v>
      </c>
    </row>
    <row r="8098" spans="1:6" hidden="1" x14ac:dyDescent="0.25">
      <c r="A8098" t="s">
        <v>682</v>
      </c>
      <c r="B8098" t="s">
        <v>254</v>
      </c>
      <c r="E8098" s="3">
        <f>HYPERLINK("https://sao.dolgi.msk.ru/account/1404268104/", 1404268104)</f>
        <v>1404268104</v>
      </c>
      <c r="F8098">
        <v>-952.16</v>
      </c>
    </row>
    <row r="8099" spans="1:6" hidden="1" x14ac:dyDescent="0.25">
      <c r="A8099" t="s">
        <v>682</v>
      </c>
      <c r="B8099" t="s">
        <v>255</v>
      </c>
      <c r="E8099" s="3">
        <f>HYPERLINK("https://sao.dolgi.msk.ru/account/1404268956/", 1404268956)</f>
        <v>1404268956</v>
      </c>
      <c r="F8099">
        <v>-2643.82</v>
      </c>
    </row>
    <row r="8100" spans="1:6" hidden="1" x14ac:dyDescent="0.25">
      <c r="A8100" t="s">
        <v>682</v>
      </c>
      <c r="B8100" t="s">
        <v>256</v>
      </c>
      <c r="E8100" s="3">
        <f>HYPERLINK("https://sao.dolgi.msk.ru/account/1404268112/", 1404268112)</f>
        <v>1404268112</v>
      </c>
      <c r="F8100">
        <v>-2319.88</v>
      </c>
    </row>
    <row r="8101" spans="1:6" x14ac:dyDescent="0.25">
      <c r="A8101" t="s">
        <v>682</v>
      </c>
      <c r="B8101" t="s">
        <v>257</v>
      </c>
      <c r="C8101" s="5" t="str">
        <f>" кв. "&amp;B8101</f>
        <v xml:space="preserve"> кв. 250</v>
      </c>
      <c r="D8101" s="5" t="str">
        <f>CONCATENATE(A8101,C8101)</f>
        <v>Ленинградское шоссе, дом 112/1 к.1 кв. 250</v>
      </c>
      <c r="E8101" s="3">
        <f>HYPERLINK("https://sao.dolgi.msk.ru/account/1404268972/", 1404268972)</f>
        <v>1404268972</v>
      </c>
      <c r="F8101">
        <v>958.39</v>
      </c>
    </row>
    <row r="8102" spans="1:6" hidden="1" x14ac:dyDescent="0.25">
      <c r="A8102" t="s">
        <v>682</v>
      </c>
      <c r="B8102" t="s">
        <v>258</v>
      </c>
      <c r="E8102" s="3">
        <f>HYPERLINK("https://sao.dolgi.msk.ru/account/1404270407/", 1404270407)</f>
        <v>1404270407</v>
      </c>
      <c r="F8102">
        <v>-1588.16</v>
      </c>
    </row>
    <row r="8103" spans="1:6" hidden="1" x14ac:dyDescent="0.25">
      <c r="A8103" t="s">
        <v>682</v>
      </c>
      <c r="B8103" t="s">
        <v>259</v>
      </c>
      <c r="E8103" s="3">
        <f>HYPERLINK("https://sao.dolgi.msk.ru/account/1404268534/", 1404268534)</f>
        <v>1404268534</v>
      </c>
      <c r="F8103">
        <v>0</v>
      </c>
    </row>
    <row r="8104" spans="1:6" hidden="1" x14ac:dyDescent="0.25">
      <c r="A8104" t="s">
        <v>682</v>
      </c>
      <c r="B8104" t="s">
        <v>260</v>
      </c>
      <c r="E8104" s="3">
        <f>HYPERLINK("https://sao.dolgi.msk.ru/account/1404269502/", 1404269502)</f>
        <v>1404269502</v>
      </c>
      <c r="F8104">
        <v>0</v>
      </c>
    </row>
    <row r="8105" spans="1:6" x14ac:dyDescent="0.25">
      <c r="A8105" t="s">
        <v>682</v>
      </c>
      <c r="B8105" t="s">
        <v>262</v>
      </c>
      <c r="C8105" s="5" t="str">
        <f>" кв. "&amp;B8105</f>
        <v xml:space="preserve"> кв. 255</v>
      </c>
      <c r="D8105" s="5" t="str">
        <f>CONCATENATE(A8105,C8105)</f>
        <v>Ленинградское шоссе, дом 112/1 к.1 кв. 255</v>
      </c>
      <c r="E8105" s="3">
        <f>HYPERLINK("https://sao.dolgi.msk.ru/account/1404268999/", 1404268999)</f>
        <v>1404268999</v>
      </c>
      <c r="F8105">
        <v>920.43</v>
      </c>
    </row>
    <row r="8106" spans="1:6" hidden="1" x14ac:dyDescent="0.25">
      <c r="A8106" t="s">
        <v>682</v>
      </c>
      <c r="B8106" t="s">
        <v>264</v>
      </c>
      <c r="E8106" s="3">
        <f>HYPERLINK("https://sao.dolgi.msk.ru/account/1404269019/", 1404269019)</f>
        <v>1404269019</v>
      </c>
      <c r="F8106">
        <v>0</v>
      </c>
    </row>
    <row r="8107" spans="1:6" hidden="1" x14ac:dyDescent="0.25">
      <c r="A8107" t="s">
        <v>682</v>
      </c>
      <c r="B8107" t="s">
        <v>265</v>
      </c>
      <c r="E8107" s="3">
        <f>HYPERLINK("https://sao.dolgi.msk.ru/account/1404270861/", 1404270861)</f>
        <v>1404270861</v>
      </c>
      <c r="F8107">
        <v>-1391.24</v>
      </c>
    </row>
    <row r="8108" spans="1:6" x14ac:dyDescent="0.25">
      <c r="A8108" t="s">
        <v>682</v>
      </c>
      <c r="B8108" t="s">
        <v>266</v>
      </c>
      <c r="C8108" s="5" t="str">
        <f>" кв. "&amp;B8108</f>
        <v xml:space="preserve"> кв. 259</v>
      </c>
      <c r="D8108" s="5" t="str">
        <f>CONCATENATE(A8108,C8108)</f>
        <v>Ленинградское шоссе, дом 112/1 к.1 кв. 259</v>
      </c>
      <c r="E8108" s="3">
        <f>HYPERLINK("https://sao.dolgi.msk.ru/account/1404269529/", 1404269529)</f>
        <v>1404269529</v>
      </c>
      <c r="F8108">
        <v>1315.81</v>
      </c>
    </row>
    <row r="8109" spans="1:6" hidden="1" x14ac:dyDescent="0.25">
      <c r="A8109" t="s">
        <v>682</v>
      </c>
      <c r="B8109" t="s">
        <v>267</v>
      </c>
      <c r="E8109" s="3">
        <f>HYPERLINK("https://sao.dolgi.msk.ru/account/1404268905/", 1404268905)</f>
        <v>1404268905</v>
      </c>
      <c r="F8109">
        <v>-1418.98</v>
      </c>
    </row>
    <row r="8110" spans="1:6" hidden="1" x14ac:dyDescent="0.25">
      <c r="A8110" t="s">
        <v>682</v>
      </c>
      <c r="B8110" t="s">
        <v>268</v>
      </c>
      <c r="E8110" s="3">
        <f>HYPERLINK("https://sao.dolgi.msk.ru/account/1404270714/", 1404270714)</f>
        <v>1404270714</v>
      </c>
      <c r="F8110">
        <v>-2657.69</v>
      </c>
    </row>
    <row r="8111" spans="1:6" hidden="1" x14ac:dyDescent="0.25">
      <c r="A8111" t="s">
        <v>682</v>
      </c>
      <c r="B8111" t="s">
        <v>269</v>
      </c>
      <c r="E8111" s="3">
        <f>HYPERLINK("https://sao.dolgi.msk.ru/account/1404269318/", 1404269318)</f>
        <v>1404269318</v>
      </c>
      <c r="F8111">
        <v>0</v>
      </c>
    </row>
    <row r="8112" spans="1:6" hidden="1" x14ac:dyDescent="0.25">
      <c r="A8112" t="s">
        <v>682</v>
      </c>
      <c r="B8112" t="s">
        <v>270</v>
      </c>
      <c r="E8112" s="3">
        <f>HYPERLINK("https://sao.dolgi.msk.ru/account/1404270722/", 1404270722)</f>
        <v>1404270722</v>
      </c>
      <c r="F8112">
        <v>-1950.51</v>
      </c>
    </row>
    <row r="8113" spans="1:6" hidden="1" x14ac:dyDescent="0.25">
      <c r="A8113" t="s">
        <v>682</v>
      </c>
      <c r="B8113" t="s">
        <v>271</v>
      </c>
      <c r="E8113" s="3">
        <f>HYPERLINK("https://sao.dolgi.msk.ru/account/1404270204/", 1404270204)</f>
        <v>1404270204</v>
      </c>
      <c r="F8113">
        <v>-1214.46</v>
      </c>
    </row>
    <row r="8114" spans="1:6" hidden="1" x14ac:dyDescent="0.25">
      <c r="A8114" t="s">
        <v>682</v>
      </c>
      <c r="B8114" t="s">
        <v>272</v>
      </c>
      <c r="E8114" s="3">
        <f>HYPERLINK("https://sao.dolgi.msk.ru/account/1404269799/", 1404269799)</f>
        <v>1404269799</v>
      </c>
      <c r="F8114">
        <v>-838.96</v>
      </c>
    </row>
    <row r="8115" spans="1:6" hidden="1" x14ac:dyDescent="0.25">
      <c r="A8115" t="s">
        <v>682</v>
      </c>
      <c r="B8115" t="s">
        <v>273</v>
      </c>
      <c r="E8115" s="3">
        <f>HYPERLINK("https://sao.dolgi.msk.ru/account/1404270212/", 1404270212)</f>
        <v>1404270212</v>
      </c>
      <c r="F8115">
        <v>-1409.74</v>
      </c>
    </row>
    <row r="8116" spans="1:6" hidden="1" x14ac:dyDescent="0.25">
      <c r="A8116" t="s">
        <v>682</v>
      </c>
      <c r="B8116" t="s">
        <v>274</v>
      </c>
      <c r="E8116" s="3">
        <f>HYPERLINK("https://sao.dolgi.msk.ru/account/1404269801/", 1404269801)</f>
        <v>1404269801</v>
      </c>
      <c r="F8116">
        <v>-1617.71</v>
      </c>
    </row>
    <row r="8117" spans="1:6" hidden="1" x14ac:dyDescent="0.25">
      <c r="A8117" t="s">
        <v>682</v>
      </c>
      <c r="B8117" t="s">
        <v>275</v>
      </c>
      <c r="E8117" s="3">
        <f>HYPERLINK("https://sao.dolgi.msk.ru/account/1404268403/", 1404268403)</f>
        <v>1404268403</v>
      </c>
      <c r="F8117">
        <v>-967.88</v>
      </c>
    </row>
    <row r="8118" spans="1:6" x14ac:dyDescent="0.25">
      <c r="A8118" t="s">
        <v>682</v>
      </c>
      <c r="B8118" t="s">
        <v>276</v>
      </c>
      <c r="C8118" s="5" t="str">
        <f>" кв. "&amp;B8118</f>
        <v xml:space="preserve"> кв. 269</v>
      </c>
      <c r="D8118" s="5" t="str">
        <f>CONCATENATE(A8118,C8118)</f>
        <v>Ленинградское шоссе, дом 112/1 к.1 кв. 269</v>
      </c>
      <c r="E8118" s="3">
        <f>HYPERLINK("https://sao.dolgi.msk.ru/account/1404268841/", 1404268841)</f>
        <v>1404268841</v>
      </c>
      <c r="F8118">
        <v>1799.75</v>
      </c>
    </row>
    <row r="8119" spans="1:6" hidden="1" x14ac:dyDescent="0.25">
      <c r="A8119" t="s">
        <v>682</v>
      </c>
      <c r="B8119" t="s">
        <v>277</v>
      </c>
      <c r="E8119" s="3">
        <f>HYPERLINK("https://sao.dolgi.msk.ru/account/1404269828/", 1404269828)</f>
        <v>1404269828</v>
      </c>
      <c r="F8119">
        <v>0</v>
      </c>
    </row>
    <row r="8120" spans="1:6" hidden="1" x14ac:dyDescent="0.25">
      <c r="A8120" t="s">
        <v>682</v>
      </c>
      <c r="B8120" t="s">
        <v>278</v>
      </c>
      <c r="E8120" s="3">
        <f>HYPERLINK("https://sao.dolgi.msk.ru/account/1404269326/", 1404269326)</f>
        <v>1404269326</v>
      </c>
      <c r="F8120">
        <v>-1950.51</v>
      </c>
    </row>
    <row r="8121" spans="1:6" hidden="1" x14ac:dyDescent="0.25">
      <c r="A8121" t="s">
        <v>682</v>
      </c>
      <c r="B8121" t="s">
        <v>279</v>
      </c>
      <c r="E8121" s="3">
        <f>HYPERLINK("https://sao.dolgi.msk.ru/account/1404268067/", 1404268067)</f>
        <v>1404268067</v>
      </c>
      <c r="F8121">
        <v>-223.24</v>
      </c>
    </row>
    <row r="8122" spans="1:6" hidden="1" x14ac:dyDescent="0.25">
      <c r="A8122" t="s">
        <v>682</v>
      </c>
      <c r="B8122" t="s">
        <v>280</v>
      </c>
      <c r="E8122" s="3">
        <f>HYPERLINK("https://sao.dolgi.msk.ru/account/1404269334/", 1404269334)</f>
        <v>1404269334</v>
      </c>
      <c r="F8122">
        <v>-2214.85</v>
      </c>
    </row>
    <row r="8123" spans="1:6" hidden="1" x14ac:dyDescent="0.25">
      <c r="A8123" t="s">
        <v>682</v>
      </c>
      <c r="B8123" t="s">
        <v>281</v>
      </c>
      <c r="E8123" s="3">
        <f>HYPERLINK("https://sao.dolgi.msk.ru/account/1404269836/", 1404269836)</f>
        <v>1404269836</v>
      </c>
      <c r="F8123">
        <v>0</v>
      </c>
    </row>
    <row r="8124" spans="1:6" x14ac:dyDescent="0.25">
      <c r="A8124" t="s">
        <v>682</v>
      </c>
      <c r="B8124" t="s">
        <v>282</v>
      </c>
      <c r="C8124" s="5" t="str">
        <f>" кв. "&amp;B8124</f>
        <v xml:space="preserve"> кв. 275</v>
      </c>
      <c r="D8124" s="5" t="str">
        <f>CONCATENATE(A8124,C8124)</f>
        <v>Ленинградское шоссе, дом 112/1 к.1 кв. 275</v>
      </c>
      <c r="E8124" s="3">
        <f>HYPERLINK("https://sao.dolgi.msk.ru/account/1404271207/", 1404271207)</f>
        <v>1404271207</v>
      </c>
      <c r="F8124">
        <v>1331.62</v>
      </c>
    </row>
    <row r="8125" spans="1:6" hidden="1" x14ac:dyDescent="0.25">
      <c r="A8125" t="s">
        <v>682</v>
      </c>
      <c r="B8125" t="s">
        <v>283</v>
      </c>
      <c r="E8125" s="3">
        <f>HYPERLINK("https://sao.dolgi.msk.ru/account/1404269844/", 1404269844)</f>
        <v>1404269844</v>
      </c>
      <c r="F8125">
        <v>-1423.6</v>
      </c>
    </row>
    <row r="8126" spans="1:6" hidden="1" x14ac:dyDescent="0.25">
      <c r="A8126" t="s">
        <v>682</v>
      </c>
      <c r="B8126" t="s">
        <v>284</v>
      </c>
      <c r="E8126" s="3">
        <f>HYPERLINK("https://sao.dolgi.msk.ru/account/1404270239/", 1404270239)</f>
        <v>1404270239</v>
      </c>
      <c r="F8126">
        <v>0</v>
      </c>
    </row>
    <row r="8127" spans="1:6" x14ac:dyDescent="0.25">
      <c r="A8127" t="s">
        <v>682</v>
      </c>
      <c r="B8127" t="s">
        <v>285</v>
      </c>
      <c r="C8127" s="5" t="str">
        <f>" кв. "&amp;B8127</f>
        <v xml:space="preserve"> кв. 278</v>
      </c>
      <c r="D8127" s="5" t="str">
        <f>CONCATENATE(A8127,C8127)</f>
        <v>Ленинградское шоссе, дом 112/1 к.1 кв. 278</v>
      </c>
      <c r="E8127" s="3">
        <f>HYPERLINK("https://sao.dolgi.msk.ru/account/1404269852/", 1404269852)</f>
        <v>1404269852</v>
      </c>
      <c r="F8127">
        <v>958.39</v>
      </c>
    </row>
    <row r="8128" spans="1:6" hidden="1" x14ac:dyDescent="0.25">
      <c r="A8128" t="s">
        <v>682</v>
      </c>
      <c r="B8128" t="s">
        <v>286</v>
      </c>
      <c r="E8128" s="3">
        <f>HYPERLINK("https://sao.dolgi.msk.ru/account/1404269254/", 1404269254)</f>
        <v>1404269254</v>
      </c>
      <c r="F8128">
        <v>-1955.13</v>
      </c>
    </row>
    <row r="8129" spans="1:6" hidden="1" x14ac:dyDescent="0.25">
      <c r="A8129" t="s">
        <v>682</v>
      </c>
      <c r="B8129" t="s">
        <v>287</v>
      </c>
      <c r="E8129" s="3">
        <f>HYPERLINK("https://sao.dolgi.msk.ru/account/1404268382/", 1404268382)</f>
        <v>1404268382</v>
      </c>
      <c r="F8129">
        <v>-1187.24</v>
      </c>
    </row>
    <row r="8130" spans="1:6" hidden="1" x14ac:dyDescent="0.25">
      <c r="A8130" t="s">
        <v>682</v>
      </c>
      <c r="B8130" t="s">
        <v>288</v>
      </c>
      <c r="E8130" s="3">
        <f>HYPERLINK("https://sao.dolgi.msk.ru/account/1404269262/", 1404269262)</f>
        <v>1404269262</v>
      </c>
      <c r="F8130">
        <v>-2625.34</v>
      </c>
    </row>
    <row r="8131" spans="1:6" hidden="1" x14ac:dyDescent="0.25">
      <c r="A8131" t="s">
        <v>682</v>
      </c>
      <c r="B8131" t="s">
        <v>289</v>
      </c>
      <c r="E8131" s="3">
        <f>HYPERLINK("https://sao.dolgi.msk.ru/account/1404269289/", 1404269289)</f>
        <v>1404269289</v>
      </c>
      <c r="F8131">
        <v>-1414.36</v>
      </c>
    </row>
    <row r="8132" spans="1:6" x14ac:dyDescent="0.25">
      <c r="A8132" t="s">
        <v>682</v>
      </c>
      <c r="B8132" t="s">
        <v>290</v>
      </c>
      <c r="C8132" s="5" t="str">
        <f>" кв. "&amp;B8132</f>
        <v xml:space="preserve"> кв. 283</v>
      </c>
      <c r="D8132" s="5" t="str">
        <f>CONCATENATE(A8132,C8132)</f>
        <v>Ленинградское шоссе, дом 112/1 к.1 кв. 283</v>
      </c>
      <c r="E8132" s="3">
        <f>HYPERLINK("https://sao.dolgi.msk.ru/account/1404270693/", 1404270693)</f>
        <v>1404270693</v>
      </c>
      <c r="F8132">
        <v>1341.11</v>
      </c>
    </row>
    <row r="8133" spans="1:6" hidden="1" x14ac:dyDescent="0.25">
      <c r="A8133" t="s">
        <v>682</v>
      </c>
      <c r="B8133" t="s">
        <v>291</v>
      </c>
      <c r="E8133" s="3">
        <f>HYPERLINK("https://sao.dolgi.msk.ru/account/1404269297/", 1404269297)</f>
        <v>1404269297</v>
      </c>
      <c r="F8133">
        <v>-1418.98</v>
      </c>
    </row>
    <row r="8134" spans="1:6" x14ac:dyDescent="0.25">
      <c r="A8134" t="s">
        <v>684</v>
      </c>
      <c r="B8134" t="s">
        <v>5</v>
      </c>
      <c r="C8134" s="5" t="str">
        <f>" кв. "&amp;B8134</f>
        <v xml:space="preserve"> кв. 1</v>
      </c>
      <c r="D8134" s="5" t="str">
        <f>CONCATENATE(A8134,C8134)</f>
        <v>Ленинградское шоссе, дом 118 к.1 кв. 1</v>
      </c>
      <c r="E8134" s="3">
        <f>HYPERLINK("https://sao.dolgi.msk.ru/account/1404273018/", 1404273018)</f>
        <v>1404273018</v>
      </c>
      <c r="F8134">
        <v>1660.58</v>
      </c>
    </row>
    <row r="8135" spans="1:6" hidden="1" x14ac:dyDescent="0.25">
      <c r="A8135" t="s">
        <v>684</v>
      </c>
      <c r="B8135" t="s">
        <v>6</v>
      </c>
      <c r="E8135" s="3">
        <f>HYPERLINK("https://sao.dolgi.msk.ru/account/1404272437/", 1404272437)</f>
        <v>1404272437</v>
      </c>
      <c r="F8135">
        <v>-2482.0500000000002</v>
      </c>
    </row>
    <row r="8136" spans="1:6" hidden="1" x14ac:dyDescent="0.25">
      <c r="A8136" t="s">
        <v>684</v>
      </c>
      <c r="B8136" t="s">
        <v>7</v>
      </c>
      <c r="E8136" s="3">
        <f>HYPERLINK("https://sao.dolgi.msk.ru/account/1404272146/", 1404272146)</f>
        <v>1404272146</v>
      </c>
      <c r="F8136">
        <v>-2361.87</v>
      </c>
    </row>
    <row r="8137" spans="1:6" hidden="1" x14ac:dyDescent="0.25">
      <c r="A8137" t="s">
        <v>684</v>
      </c>
      <c r="B8137" t="s">
        <v>8</v>
      </c>
      <c r="E8137" s="3">
        <f>HYPERLINK("https://sao.dolgi.msk.ru/account/1404271776/", 1404271776)</f>
        <v>1404271776</v>
      </c>
      <c r="F8137">
        <v>-1770.25</v>
      </c>
    </row>
    <row r="8138" spans="1:6" x14ac:dyDescent="0.25">
      <c r="A8138" t="s">
        <v>684</v>
      </c>
      <c r="B8138" t="s">
        <v>9</v>
      </c>
      <c r="C8138" s="5" t="str">
        <f>" кв. "&amp;B8138</f>
        <v xml:space="preserve"> кв. 5</v>
      </c>
      <c r="D8138" s="5" t="str">
        <f>CONCATENATE(A8138,C8138)</f>
        <v>Ленинградское шоссе, дом 118 к.1 кв. 5</v>
      </c>
      <c r="E8138" s="3">
        <f>HYPERLINK("https://sao.dolgi.msk.ru/account/1404272752/", 1404272752)</f>
        <v>1404272752</v>
      </c>
      <c r="F8138">
        <v>1505.59</v>
      </c>
    </row>
    <row r="8139" spans="1:6" hidden="1" x14ac:dyDescent="0.25">
      <c r="A8139" t="s">
        <v>684</v>
      </c>
      <c r="B8139" t="s">
        <v>10</v>
      </c>
      <c r="E8139" s="3">
        <f>HYPERLINK("https://sao.dolgi.msk.ru/account/1404273122/", 1404273122)</f>
        <v>1404273122</v>
      </c>
      <c r="F8139">
        <v>0</v>
      </c>
    </row>
    <row r="8140" spans="1:6" x14ac:dyDescent="0.25">
      <c r="A8140" t="s">
        <v>684</v>
      </c>
      <c r="B8140" t="s">
        <v>11</v>
      </c>
      <c r="C8140" s="5" t="str">
        <f>" кв. "&amp;B8140</f>
        <v xml:space="preserve"> кв. 7</v>
      </c>
      <c r="D8140" s="5" t="str">
        <f>CONCATENATE(A8140,C8140)</f>
        <v>Ленинградское шоссе, дом 118 к.1 кв. 7</v>
      </c>
      <c r="E8140" s="3">
        <f>HYPERLINK("https://sao.dolgi.msk.ru/account/1404271979/", 1404271979)</f>
        <v>1404271979</v>
      </c>
      <c r="F8140">
        <v>1651.09</v>
      </c>
    </row>
    <row r="8141" spans="1:6" hidden="1" x14ac:dyDescent="0.25">
      <c r="A8141" t="s">
        <v>684</v>
      </c>
      <c r="B8141" t="s">
        <v>12</v>
      </c>
      <c r="E8141" s="3">
        <f>HYPERLINK("https://sao.dolgi.msk.ru/account/1404272226/", 1404272226)</f>
        <v>1404272226</v>
      </c>
      <c r="F8141">
        <v>-1677.8</v>
      </c>
    </row>
    <row r="8142" spans="1:6" hidden="1" x14ac:dyDescent="0.25">
      <c r="A8142" t="s">
        <v>684</v>
      </c>
      <c r="B8142" t="s">
        <v>13</v>
      </c>
      <c r="E8142" s="3">
        <f>HYPERLINK("https://sao.dolgi.msk.ru/account/1404272234/", 1404272234)</f>
        <v>1404272234</v>
      </c>
      <c r="F8142">
        <v>-2090.29</v>
      </c>
    </row>
    <row r="8143" spans="1:6" hidden="1" x14ac:dyDescent="0.25">
      <c r="A8143" t="s">
        <v>684</v>
      </c>
      <c r="B8143" t="s">
        <v>14</v>
      </c>
      <c r="E8143" s="3">
        <f>HYPERLINK("https://sao.dolgi.msk.ru/account/1404272883/", 1404272883)</f>
        <v>1404272883</v>
      </c>
      <c r="F8143">
        <v>-2357.25</v>
      </c>
    </row>
    <row r="8144" spans="1:6" hidden="1" x14ac:dyDescent="0.25">
      <c r="A8144" t="s">
        <v>684</v>
      </c>
      <c r="B8144" t="s">
        <v>15</v>
      </c>
      <c r="E8144" s="3">
        <f>HYPERLINK("https://sao.dolgi.msk.ru/account/1404272349/", 1404272349)</f>
        <v>1404272349</v>
      </c>
      <c r="F8144">
        <v>-1770.25</v>
      </c>
    </row>
    <row r="8145" spans="1:6" hidden="1" x14ac:dyDescent="0.25">
      <c r="A8145" t="s">
        <v>684</v>
      </c>
      <c r="B8145" t="s">
        <v>16</v>
      </c>
      <c r="E8145" s="3">
        <f>HYPERLINK("https://sao.dolgi.msk.ru/account/1404271573/", 1404271573)</f>
        <v>1404271573</v>
      </c>
      <c r="F8145">
        <v>-1100.06</v>
      </c>
    </row>
    <row r="8146" spans="1:6" hidden="1" x14ac:dyDescent="0.25">
      <c r="A8146" t="s">
        <v>684</v>
      </c>
      <c r="B8146" t="s">
        <v>17</v>
      </c>
      <c r="E8146" s="3">
        <f>HYPERLINK("https://sao.dolgi.msk.ru/account/1404272779/", 1404272779)</f>
        <v>1404272779</v>
      </c>
      <c r="F8146">
        <v>-2486.67</v>
      </c>
    </row>
    <row r="8147" spans="1:6" hidden="1" x14ac:dyDescent="0.25">
      <c r="A8147" t="s">
        <v>684</v>
      </c>
      <c r="B8147" t="s">
        <v>18</v>
      </c>
      <c r="E8147" s="3">
        <f>HYPERLINK("https://sao.dolgi.msk.ru/account/1404271813/", 1404271813)</f>
        <v>1404271813</v>
      </c>
      <c r="F8147">
        <v>0</v>
      </c>
    </row>
    <row r="8148" spans="1:6" hidden="1" x14ac:dyDescent="0.25">
      <c r="A8148" t="s">
        <v>684</v>
      </c>
      <c r="B8148" t="s">
        <v>19</v>
      </c>
      <c r="E8148" s="3">
        <f>HYPERLINK("https://sao.dolgi.msk.ru/account/1404272189/", 1404272189)</f>
        <v>1404272189</v>
      </c>
      <c r="F8148">
        <v>-2101.98</v>
      </c>
    </row>
    <row r="8149" spans="1:6" x14ac:dyDescent="0.25">
      <c r="A8149" t="s">
        <v>684</v>
      </c>
      <c r="B8149" t="s">
        <v>20</v>
      </c>
      <c r="C8149" s="5" t="str">
        <f>" кв. "&amp;B8149</f>
        <v xml:space="preserve"> кв. 16</v>
      </c>
      <c r="D8149" s="5" t="str">
        <f>CONCATENATE(A8149,C8149)</f>
        <v>Ленинградское шоссе, дом 118 к.1 кв. 16</v>
      </c>
      <c r="E8149" s="3">
        <f>HYPERLINK("https://sao.dolgi.msk.ru/account/1404271952/", 1404271952)</f>
        <v>1404271952</v>
      </c>
      <c r="F8149">
        <v>1711.18</v>
      </c>
    </row>
    <row r="8150" spans="1:6" hidden="1" x14ac:dyDescent="0.25">
      <c r="A8150" t="s">
        <v>684</v>
      </c>
      <c r="B8150" t="s">
        <v>21</v>
      </c>
      <c r="E8150" s="3">
        <f>HYPERLINK("https://sao.dolgi.msk.ru/account/1404272963/", 1404272963)</f>
        <v>1404272963</v>
      </c>
      <c r="F8150">
        <v>-2421.9699999999998</v>
      </c>
    </row>
    <row r="8151" spans="1:6" hidden="1" x14ac:dyDescent="0.25">
      <c r="A8151" t="s">
        <v>684</v>
      </c>
      <c r="B8151" t="s">
        <v>22</v>
      </c>
      <c r="E8151" s="3">
        <f>HYPERLINK("https://sao.dolgi.msk.ru/account/1404272701/", 1404272701)</f>
        <v>1404272701</v>
      </c>
      <c r="F8151">
        <v>-3435.86</v>
      </c>
    </row>
    <row r="8152" spans="1:6" hidden="1" x14ac:dyDescent="0.25">
      <c r="A8152" t="s">
        <v>684</v>
      </c>
      <c r="B8152" t="s">
        <v>23</v>
      </c>
      <c r="E8152" s="3">
        <f>HYPERLINK("https://sao.dolgi.msk.ru/account/1404272656/", 1404272656)</f>
        <v>1404272656</v>
      </c>
      <c r="F8152">
        <v>-2361.87</v>
      </c>
    </row>
    <row r="8153" spans="1:6" hidden="1" x14ac:dyDescent="0.25">
      <c r="A8153" t="s">
        <v>684</v>
      </c>
      <c r="B8153" t="s">
        <v>24</v>
      </c>
      <c r="E8153" s="3">
        <f>HYPERLINK("https://sao.dolgi.msk.ru/account/1404272162/", 1404272162)</f>
        <v>1404272162</v>
      </c>
      <c r="F8153">
        <v>-2514.41</v>
      </c>
    </row>
    <row r="8154" spans="1:6" hidden="1" x14ac:dyDescent="0.25">
      <c r="A8154" t="s">
        <v>684</v>
      </c>
      <c r="B8154" t="s">
        <v>25</v>
      </c>
      <c r="E8154" s="3">
        <f>HYPERLINK("https://sao.dolgi.msk.ru/account/1404272621/", 1404272621)</f>
        <v>1404272621</v>
      </c>
      <c r="F8154">
        <v>-2468.1799999999998</v>
      </c>
    </row>
    <row r="8155" spans="1:6" hidden="1" x14ac:dyDescent="0.25">
      <c r="A8155" t="s">
        <v>684</v>
      </c>
      <c r="B8155" t="s">
        <v>26</v>
      </c>
      <c r="E8155" s="3">
        <f>HYPERLINK("https://sao.dolgi.msk.ru/account/1404271581/", 1404271581)</f>
        <v>1404271581</v>
      </c>
      <c r="F8155">
        <v>-2098.08</v>
      </c>
    </row>
    <row r="8156" spans="1:6" hidden="1" x14ac:dyDescent="0.25">
      <c r="A8156" t="s">
        <v>684</v>
      </c>
      <c r="B8156" t="s">
        <v>27</v>
      </c>
      <c r="E8156" s="3">
        <f>HYPERLINK("https://sao.dolgi.msk.ru/account/1404273093/", 1404273093)</f>
        <v>1404273093</v>
      </c>
      <c r="F8156">
        <v>0</v>
      </c>
    </row>
    <row r="8157" spans="1:6" hidden="1" x14ac:dyDescent="0.25">
      <c r="A8157" t="s">
        <v>684</v>
      </c>
      <c r="B8157" t="s">
        <v>28</v>
      </c>
      <c r="E8157" s="3">
        <f>HYPERLINK("https://sao.dolgi.msk.ru/account/1404271848/", 1404271848)</f>
        <v>1404271848</v>
      </c>
      <c r="F8157">
        <v>-2426.6</v>
      </c>
    </row>
    <row r="8158" spans="1:6" hidden="1" x14ac:dyDescent="0.25">
      <c r="A8158" t="s">
        <v>684</v>
      </c>
      <c r="B8158" t="s">
        <v>29</v>
      </c>
      <c r="E8158" s="3">
        <f>HYPERLINK("https://sao.dolgi.msk.ru/account/1404272058/", 1404272058)</f>
        <v>1404272058</v>
      </c>
      <c r="F8158">
        <v>-1811.86</v>
      </c>
    </row>
    <row r="8159" spans="1:6" hidden="1" x14ac:dyDescent="0.25">
      <c r="A8159" t="s">
        <v>684</v>
      </c>
      <c r="B8159" t="s">
        <v>30</v>
      </c>
      <c r="E8159" s="3">
        <f>HYPERLINK("https://sao.dolgi.msk.ru/account/1404272074/", 1404272074)</f>
        <v>1404272074</v>
      </c>
      <c r="F8159">
        <v>-2352.63</v>
      </c>
    </row>
    <row r="8160" spans="1:6" hidden="1" x14ac:dyDescent="0.25">
      <c r="A8160" t="s">
        <v>684</v>
      </c>
      <c r="B8160" t="s">
        <v>31</v>
      </c>
      <c r="E8160" s="3">
        <f>HYPERLINK("https://sao.dolgi.msk.ru/account/1404272584/", 1404272584)</f>
        <v>1404272584</v>
      </c>
      <c r="F8160">
        <v>0</v>
      </c>
    </row>
    <row r="8161" spans="1:6" hidden="1" x14ac:dyDescent="0.25">
      <c r="A8161" t="s">
        <v>684</v>
      </c>
      <c r="B8161" t="s">
        <v>32</v>
      </c>
      <c r="E8161" s="3">
        <f>HYPERLINK("https://sao.dolgi.msk.ru/account/1404272365/", 1404272365)</f>
        <v>1404272365</v>
      </c>
      <c r="F8161">
        <v>-2472.81</v>
      </c>
    </row>
    <row r="8162" spans="1:6" hidden="1" x14ac:dyDescent="0.25">
      <c r="A8162" t="s">
        <v>684</v>
      </c>
      <c r="B8162" t="s">
        <v>33</v>
      </c>
      <c r="E8162" s="3">
        <f>HYPERLINK("https://sao.dolgi.msk.ru/account/1404271565/", 1404271565)</f>
        <v>1404271565</v>
      </c>
      <c r="F8162">
        <v>-2294.6999999999998</v>
      </c>
    </row>
    <row r="8163" spans="1:6" hidden="1" x14ac:dyDescent="0.25">
      <c r="A8163" t="s">
        <v>684</v>
      </c>
      <c r="B8163" t="s">
        <v>34</v>
      </c>
      <c r="E8163" s="3">
        <f>HYPERLINK("https://sao.dolgi.msk.ru/account/1404272082/", 1404272082)</f>
        <v>1404272082</v>
      </c>
      <c r="F8163">
        <v>-789.36</v>
      </c>
    </row>
    <row r="8164" spans="1:6" hidden="1" x14ac:dyDescent="0.25">
      <c r="A8164" t="s">
        <v>684</v>
      </c>
      <c r="B8164" t="s">
        <v>35</v>
      </c>
      <c r="E8164" s="3">
        <f>HYPERLINK("https://sao.dolgi.msk.ru/account/1404272285/", 1404272285)</f>
        <v>1404272285</v>
      </c>
      <c r="F8164">
        <v>-2426.6</v>
      </c>
    </row>
    <row r="8165" spans="1:6" hidden="1" x14ac:dyDescent="0.25">
      <c r="A8165" t="s">
        <v>684</v>
      </c>
      <c r="B8165" t="s">
        <v>36</v>
      </c>
      <c r="E8165" s="3">
        <f>HYPERLINK("https://sao.dolgi.msk.ru/account/1404272517/", 1404272517)</f>
        <v>1404272517</v>
      </c>
      <c r="F8165">
        <v>-616.78</v>
      </c>
    </row>
    <row r="8166" spans="1:6" hidden="1" x14ac:dyDescent="0.25">
      <c r="A8166" t="s">
        <v>684</v>
      </c>
      <c r="B8166" t="s">
        <v>37</v>
      </c>
      <c r="E8166" s="3">
        <f>HYPERLINK("https://sao.dolgi.msk.ru/account/1404273237/", 1404273237)</f>
        <v>1404273237</v>
      </c>
      <c r="F8166">
        <v>-1171.68</v>
      </c>
    </row>
    <row r="8167" spans="1:6" x14ac:dyDescent="0.25">
      <c r="A8167" t="s">
        <v>684</v>
      </c>
      <c r="B8167" t="s">
        <v>38</v>
      </c>
      <c r="C8167" s="5" t="str">
        <f>" кв. "&amp;B8167</f>
        <v xml:space="preserve"> кв. 34</v>
      </c>
      <c r="D8167" s="5" t="str">
        <f>CONCATENATE(A8167,C8167)</f>
        <v>Ленинградское шоссе, дом 118 к.1 кв. 34</v>
      </c>
      <c r="E8167" s="3">
        <f>HYPERLINK("https://sao.dolgi.msk.ru/account/1404272525/", 1404272525)</f>
        <v>1404272525</v>
      </c>
      <c r="F8167">
        <v>1723.84</v>
      </c>
    </row>
    <row r="8168" spans="1:6" hidden="1" x14ac:dyDescent="0.25">
      <c r="A8168" t="s">
        <v>684</v>
      </c>
      <c r="B8168" t="s">
        <v>39</v>
      </c>
      <c r="E8168" s="3">
        <f>HYPERLINK("https://sao.dolgi.msk.ru/account/1404272939/", 1404272939)</f>
        <v>1404272939</v>
      </c>
      <c r="F8168">
        <v>0</v>
      </c>
    </row>
    <row r="8169" spans="1:6" hidden="1" x14ac:dyDescent="0.25">
      <c r="A8169" t="s">
        <v>684</v>
      </c>
      <c r="B8169" t="s">
        <v>40</v>
      </c>
      <c r="E8169" s="3">
        <f>HYPERLINK("https://sao.dolgi.msk.ru/account/1404272816/", 1404272816)</f>
        <v>1404272816</v>
      </c>
      <c r="F8169">
        <v>-1742.53</v>
      </c>
    </row>
    <row r="8170" spans="1:6" x14ac:dyDescent="0.25">
      <c r="A8170" t="s">
        <v>684</v>
      </c>
      <c r="B8170" t="s">
        <v>41</v>
      </c>
      <c r="C8170" s="5" t="str">
        <f>" кв. "&amp;B8170</f>
        <v xml:space="preserve"> кв. 37</v>
      </c>
      <c r="D8170" s="5" t="str">
        <f>CONCATENATE(A8170,C8170)</f>
        <v>Ленинградское шоссе, дом 118 к.1 кв. 37</v>
      </c>
      <c r="E8170" s="3">
        <f>HYPERLINK("https://sao.dolgi.msk.ru/account/1404272453/", 1404272453)</f>
        <v>1404272453</v>
      </c>
      <c r="F8170">
        <v>1708.02</v>
      </c>
    </row>
    <row r="8171" spans="1:6" hidden="1" x14ac:dyDescent="0.25">
      <c r="A8171" t="s">
        <v>684</v>
      </c>
      <c r="B8171" t="s">
        <v>42</v>
      </c>
      <c r="E8171" s="3">
        <f>HYPERLINK("https://sao.dolgi.msk.ru/account/1404273173/", 1404273173)</f>
        <v>1404273173</v>
      </c>
      <c r="F8171">
        <v>-2043.6</v>
      </c>
    </row>
    <row r="8172" spans="1:6" hidden="1" x14ac:dyDescent="0.25">
      <c r="A8172" t="s">
        <v>684</v>
      </c>
      <c r="B8172" t="s">
        <v>43</v>
      </c>
      <c r="E8172" s="3">
        <f>HYPERLINK("https://sao.dolgi.msk.ru/account/1404272533/", 1404272533)</f>
        <v>1404272533</v>
      </c>
      <c r="F8172">
        <v>0</v>
      </c>
    </row>
    <row r="8173" spans="1:6" hidden="1" x14ac:dyDescent="0.25">
      <c r="A8173" t="s">
        <v>684</v>
      </c>
      <c r="B8173" t="s">
        <v>44</v>
      </c>
      <c r="E8173" s="3">
        <f>HYPERLINK("https://sao.dolgi.msk.ru/account/1404272832/", 1404272832)</f>
        <v>1404272832</v>
      </c>
      <c r="F8173">
        <v>0</v>
      </c>
    </row>
    <row r="8174" spans="1:6" hidden="1" x14ac:dyDescent="0.25">
      <c r="A8174" t="s">
        <v>684</v>
      </c>
      <c r="B8174" t="s">
        <v>45</v>
      </c>
      <c r="E8174" s="3">
        <f>HYPERLINK("https://sao.dolgi.msk.ru/account/1404271987/", 1404271987)</f>
        <v>1404271987</v>
      </c>
      <c r="F8174">
        <v>-2500.54</v>
      </c>
    </row>
    <row r="8175" spans="1:6" hidden="1" x14ac:dyDescent="0.25">
      <c r="A8175" t="s">
        <v>684</v>
      </c>
      <c r="B8175" t="s">
        <v>46</v>
      </c>
      <c r="E8175" s="3">
        <f>HYPERLINK("https://sao.dolgi.msk.ru/account/1404272859/", 1404272859)</f>
        <v>1404272859</v>
      </c>
      <c r="F8175">
        <v>-1705.54</v>
      </c>
    </row>
    <row r="8176" spans="1:6" x14ac:dyDescent="0.25">
      <c r="A8176" t="s">
        <v>684</v>
      </c>
      <c r="B8176" t="s">
        <v>47</v>
      </c>
      <c r="C8176" s="5" t="str">
        <f>" кв. "&amp;B8176</f>
        <v xml:space="preserve"> кв. 43</v>
      </c>
      <c r="D8176" s="5" t="str">
        <f>CONCATENATE(A8176,C8176)</f>
        <v>Ленинградское шоссе, дом 118 к.1 кв. 43</v>
      </c>
      <c r="E8176" s="3">
        <f>HYPERLINK("https://sao.dolgi.msk.ru/account/1404271469/", 1404271469)</f>
        <v>1404271469</v>
      </c>
      <c r="F8176">
        <v>1717.51</v>
      </c>
    </row>
    <row r="8177" spans="1:6" hidden="1" x14ac:dyDescent="0.25">
      <c r="A8177" t="s">
        <v>684</v>
      </c>
      <c r="B8177" t="s">
        <v>48</v>
      </c>
      <c r="E8177" s="3">
        <f>HYPERLINK("https://sao.dolgi.msk.ru/account/1404272568/", 1404272568)</f>
        <v>1404272568</v>
      </c>
      <c r="F8177">
        <v>-4188.3599999999997</v>
      </c>
    </row>
    <row r="8178" spans="1:6" hidden="1" x14ac:dyDescent="0.25">
      <c r="A8178" t="s">
        <v>684</v>
      </c>
      <c r="B8178" t="s">
        <v>49</v>
      </c>
      <c r="E8178" s="3">
        <f>HYPERLINK("https://sao.dolgi.msk.ru/account/1404272744/", 1404272744)</f>
        <v>1404272744</v>
      </c>
      <c r="F8178">
        <v>-2412.73</v>
      </c>
    </row>
    <row r="8179" spans="1:6" hidden="1" x14ac:dyDescent="0.25">
      <c r="A8179" t="s">
        <v>684</v>
      </c>
      <c r="B8179" t="s">
        <v>50</v>
      </c>
      <c r="E8179" s="3">
        <f>HYPERLINK("https://sao.dolgi.msk.ru/account/1404272306/", 1404272306)</f>
        <v>1404272306</v>
      </c>
      <c r="F8179">
        <v>-980.62</v>
      </c>
    </row>
    <row r="8180" spans="1:6" hidden="1" x14ac:dyDescent="0.25">
      <c r="A8180" t="s">
        <v>684</v>
      </c>
      <c r="B8180" t="s">
        <v>51</v>
      </c>
      <c r="E8180" s="3">
        <f>HYPERLINK("https://sao.dolgi.msk.ru/account/1404272242/", 1404272242)</f>
        <v>1404272242</v>
      </c>
      <c r="F8180">
        <v>0</v>
      </c>
    </row>
    <row r="8181" spans="1:6" hidden="1" x14ac:dyDescent="0.25">
      <c r="A8181" t="s">
        <v>684</v>
      </c>
      <c r="B8181" t="s">
        <v>52</v>
      </c>
      <c r="E8181" s="3">
        <f>HYPERLINK("https://sao.dolgi.msk.ru/account/1404271995/", 1404271995)</f>
        <v>1404271995</v>
      </c>
      <c r="F8181">
        <v>-2523.66</v>
      </c>
    </row>
    <row r="8182" spans="1:6" hidden="1" x14ac:dyDescent="0.25">
      <c r="A8182" t="s">
        <v>684</v>
      </c>
      <c r="B8182" t="s">
        <v>53</v>
      </c>
      <c r="E8182" s="3">
        <f>HYPERLINK("https://sao.dolgi.msk.ru/account/1404272314/", 1404272314)</f>
        <v>1404272314</v>
      </c>
      <c r="F8182">
        <v>-1758.15</v>
      </c>
    </row>
    <row r="8183" spans="1:6" hidden="1" x14ac:dyDescent="0.25">
      <c r="A8183" t="s">
        <v>684</v>
      </c>
      <c r="B8183" t="s">
        <v>54</v>
      </c>
      <c r="E8183" s="3">
        <f>HYPERLINK("https://sao.dolgi.msk.ru/account/1404272699/", 1404272699)</f>
        <v>1404272699</v>
      </c>
      <c r="F8183">
        <v>-1590.95</v>
      </c>
    </row>
    <row r="8184" spans="1:6" x14ac:dyDescent="0.25">
      <c r="A8184" t="s">
        <v>684</v>
      </c>
      <c r="B8184" t="s">
        <v>55</v>
      </c>
      <c r="C8184" s="5" t="str">
        <f>" кв. "&amp;B8184</f>
        <v xml:space="preserve"> кв. 51</v>
      </c>
      <c r="D8184" s="5" t="str">
        <f>CONCATENATE(A8184,C8184)</f>
        <v>Ленинградское шоссе, дом 118 к.1 кв. 51</v>
      </c>
      <c r="E8184" s="3">
        <f>HYPERLINK("https://sao.dolgi.msk.ru/account/1404272605/", 1404272605)</f>
        <v>1404272605</v>
      </c>
      <c r="F8184">
        <v>1714.35</v>
      </c>
    </row>
    <row r="8185" spans="1:6" hidden="1" x14ac:dyDescent="0.25">
      <c r="A8185" t="s">
        <v>684</v>
      </c>
      <c r="B8185" t="s">
        <v>56</v>
      </c>
      <c r="E8185" s="3">
        <f>HYPERLINK("https://sao.dolgi.msk.ru/account/1404271696/", 1404271696)</f>
        <v>1404271696</v>
      </c>
      <c r="F8185">
        <v>-2421.9699999999998</v>
      </c>
    </row>
    <row r="8186" spans="1:6" x14ac:dyDescent="0.25">
      <c r="A8186" t="s">
        <v>684</v>
      </c>
      <c r="B8186" t="s">
        <v>57</v>
      </c>
      <c r="C8186" s="5" t="str">
        <f>" кв. "&amp;B8186</f>
        <v xml:space="preserve"> кв. 53</v>
      </c>
      <c r="D8186" s="5" t="str">
        <f>CONCATENATE(A8186,C8186)</f>
        <v>Ленинградское шоссе, дом 118 к.1 кв. 53</v>
      </c>
      <c r="E8186" s="3">
        <f>HYPERLINK("https://sao.dolgi.msk.ru/account/1404273181/", 1404273181)</f>
        <v>1404273181</v>
      </c>
      <c r="F8186">
        <v>1220.92</v>
      </c>
    </row>
    <row r="8187" spans="1:6" hidden="1" x14ac:dyDescent="0.25">
      <c r="A8187" t="s">
        <v>684</v>
      </c>
      <c r="B8187" t="s">
        <v>58</v>
      </c>
      <c r="E8187" s="3">
        <f>HYPERLINK("https://sao.dolgi.msk.ru/account/1404271709/", 1404271709)</f>
        <v>1404271709</v>
      </c>
      <c r="F8187">
        <v>0</v>
      </c>
    </row>
    <row r="8188" spans="1:6" x14ac:dyDescent="0.25">
      <c r="A8188" t="s">
        <v>684</v>
      </c>
      <c r="B8188" t="s">
        <v>59</v>
      </c>
      <c r="C8188" s="5" t="str">
        <f>" кв. "&amp;B8188</f>
        <v xml:space="preserve"> кв. 55</v>
      </c>
      <c r="D8188" s="5" t="str">
        <f>CONCATENATE(A8188,C8188)</f>
        <v>Ленинградское шоссе, дом 118 к.1 кв. 55</v>
      </c>
      <c r="E8188" s="3">
        <f>HYPERLINK("https://sao.dolgi.msk.ru/account/1404271856/", 1404271856)</f>
        <v>1404271856</v>
      </c>
      <c r="F8188">
        <v>1711.18</v>
      </c>
    </row>
    <row r="8189" spans="1:6" hidden="1" x14ac:dyDescent="0.25">
      <c r="A8189" t="s">
        <v>684</v>
      </c>
      <c r="B8189" t="s">
        <v>60</v>
      </c>
      <c r="E8189" s="3">
        <f>HYPERLINK("https://sao.dolgi.msk.ru/account/1404272066/", 1404272066)</f>
        <v>1404272066</v>
      </c>
      <c r="F8189">
        <v>-1710.17</v>
      </c>
    </row>
    <row r="8190" spans="1:6" hidden="1" x14ac:dyDescent="0.25">
      <c r="A8190" t="s">
        <v>684</v>
      </c>
      <c r="B8190" t="s">
        <v>61</v>
      </c>
      <c r="E8190" s="3">
        <f>HYPERLINK("https://sao.dolgi.msk.ru/account/1404272787/", 1404272787)</f>
        <v>1404272787</v>
      </c>
      <c r="F8190">
        <v>-2491.3000000000002</v>
      </c>
    </row>
    <row r="8191" spans="1:6" x14ac:dyDescent="0.25">
      <c r="A8191" t="s">
        <v>684</v>
      </c>
      <c r="B8191" t="s">
        <v>62</v>
      </c>
      <c r="C8191" s="5" t="str">
        <f t="shared" ref="C8191:C8193" si="341">" кв. "&amp;B8191</f>
        <v xml:space="preserve"> кв. 58</v>
      </c>
      <c r="D8191" s="5" t="str">
        <f>CONCATENATE(A8191,C8191)</f>
        <v>Ленинградское шоссе, дом 118 к.1 кв. 58</v>
      </c>
      <c r="E8191" s="3">
        <f>HYPERLINK("https://sao.dolgi.msk.ru/account/1404272592/", 1404272592)</f>
        <v>1404272592</v>
      </c>
      <c r="F8191">
        <v>1708.02</v>
      </c>
    </row>
    <row r="8192" spans="1:6" x14ac:dyDescent="0.25">
      <c r="A8192" t="s">
        <v>684</v>
      </c>
      <c r="B8192" t="s">
        <v>63</v>
      </c>
      <c r="C8192" s="5" t="str">
        <f t="shared" si="341"/>
        <v xml:space="preserve"> кв. 59</v>
      </c>
      <c r="D8192" s="5" t="str">
        <f>CONCATENATE(A8192,C8192)</f>
        <v>Ленинградское шоссе, дом 118 к.1 кв. 59</v>
      </c>
      <c r="E8192" s="3">
        <f>HYPERLINK("https://sao.dolgi.msk.ru/account/1404272795/", 1404272795)</f>
        <v>1404272795</v>
      </c>
      <c r="F8192">
        <v>1660.58</v>
      </c>
    </row>
    <row r="8193" spans="1:6" x14ac:dyDescent="0.25">
      <c r="A8193" t="s">
        <v>684</v>
      </c>
      <c r="B8193" t="s">
        <v>64</v>
      </c>
      <c r="C8193" s="5" t="str">
        <f t="shared" si="341"/>
        <v xml:space="preserve"> кв. 60</v>
      </c>
      <c r="D8193" s="5" t="str">
        <f>CONCATENATE(A8193,C8193)</f>
        <v>Ленинградское шоссе, дом 118 к.1 кв. 60</v>
      </c>
      <c r="E8193" s="3">
        <f>HYPERLINK("https://sao.dolgi.msk.ru/account/1404272154/", 1404272154)</f>
        <v>1404272154</v>
      </c>
      <c r="F8193">
        <v>1236.73</v>
      </c>
    </row>
    <row r="8194" spans="1:6" hidden="1" x14ac:dyDescent="0.25">
      <c r="A8194" t="s">
        <v>684</v>
      </c>
      <c r="B8194" t="s">
        <v>65</v>
      </c>
      <c r="E8194" s="3">
        <f>HYPERLINK("https://sao.dolgi.msk.ru/account/1404272509/", 1404272509)</f>
        <v>1404272509</v>
      </c>
      <c r="F8194">
        <v>0</v>
      </c>
    </row>
    <row r="8195" spans="1:6" hidden="1" x14ac:dyDescent="0.25">
      <c r="A8195" t="s">
        <v>684</v>
      </c>
      <c r="B8195" t="s">
        <v>66</v>
      </c>
      <c r="E8195" s="3">
        <f>HYPERLINK("https://sao.dolgi.msk.ru/account/1404271549/", 1404271549)</f>
        <v>1404271549</v>
      </c>
      <c r="F8195">
        <v>-1751.77</v>
      </c>
    </row>
    <row r="8196" spans="1:6" hidden="1" x14ac:dyDescent="0.25">
      <c r="A8196" t="s">
        <v>684</v>
      </c>
      <c r="B8196" t="s">
        <v>67</v>
      </c>
      <c r="E8196" s="3">
        <f>HYPERLINK("https://sao.dolgi.msk.ru/account/1404271557/", 1404271557)</f>
        <v>1404271557</v>
      </c>
      <c r="F8196">
        <v>-2458.94</v>
      </c>
    </row>
    <row r="8197" spans="1:6" hidden="1" x14ac:dyDescent="0.25">
      <c r="A8197" t="s">
        <v>684</v>
      </c>
      <c r="B8197" t="s">
        <v>68</v>
      </c>
      <c r="E8197" s="3">
        <f>HYPERLINK("https://sao.dolgi.msk.ru/account/1404271864/", 1404271864)</f>
        <v>1404271864</v>
      </c>
      <c r="F8197">
        <v>-1728.66</v>
      </c>
    </row>
    <row r="8198" spans="1:6" hidden="1" x14ac:dyDescent="0.25">
      <c r="A8198" t="s">
        <v>684</v>
      </c>
      <c r="B8198" t="s">
        <v>69</v>
      </c>
      <c r="E8198" s="3">
        <f>HYPERLINK("https://sao.dolgi.msk.ru/account/1404271784/", 1404271784)</f>
        <v>1404271784</v>
      </c>
      <c r="F8198">
        <v>-2495.92</v>
      </c>
    </row>
    <row r="8199" spans="1:6" x14ac:dyDescent="0.25">
      <c r="A8199" t="s">
        <v>684</v>
      </c>
      <c r="B8199" t="s">
        <v>70</v>
      </c>
      <c r="C8199" s="5" t="str">
        <f t="shared" ref="C8199:C8200" si="342">" кв. "&amp;B8199</f>
        <v xml:space="preserve"> кв. 66</v>
      </c>
      <c r="D8199" s="5" t="str">
        <f>CONCATENATE(A8199,C8199)</f>
        <v>Ленинградское шоссе, дом 118 к.1 кв. 66</v>
      </c>
      <c r="E8199" s="3">
        <f>HYPERLINK("https://sao.dolgi.msk.ru/account/1404272541/", 1404272541)</f>
        <v>1404272541</v>
      </c>
      <c r="F8199">
        <v>1660.58</v>
      </c>
    </row>
    <row r="8200" spans="1:6" x14ac:dyDescent="0.25">
      <c r="A8200" t="s">
        <v>684</v>
      </c>
      <c r="B8200" t="s">
        <v>71</v>
      </c>
      <c r="C8200" s="5" t="str">
        <f t="shared" si="342"/>
        <v xml:space="preserve"> кв. 67</v>
      </c>
      <c r="D8200" s="5" t="str">
        <f>CONCATENATE(A8200,C8200)</f>
        <v>Ленинградское шоссе, дом 118 к.1 кв. 67</v>
      </c>
      <c r="E8200" s="3">
        <f>HYPERLINK("https://sao.dolgi.msk.ru/account/1404273042/", 1404273042)</f>
        <v>1404273042</v>
      </c>
      <c r="F8200">
        <v>1230.4100000000001</v>
      </c>
    </row>
    <row r="8201" spans="1:6" hidden="1" x14ac:dyDescent="0.25">
      <c r="A8201" t="s">
        <v>684</v>
      </c>
      <c r="B8201" t="s">
        <v>72</v>
      </c>
      <c r="E8201" s="3">
        <f>HYPERLINK("https://sao.dolgi.msk.ru/account/1404272867/", 1404272867)</f>
        <v>1404272867</v>
      </c>
      <c r="F8201">
        <v>-1550.68</v>
      </c>
    </row>
    <row r="8202" spans="1:6" hidden="1" x14ac:dyDescent="0.25">
      <c r="A8202" t="s">
        <v>684</v>
      </c>
      <c r="B8202" t="s">
        <v>73</v>
      </c>
      <c r="E8202" s="3">
        <f>HYPERLINK("https://sao.dolgi.msk.ru/account/1404271477/", 1404271477)</f>
        <v>1404271477</v>
      </c>
      <c r="F8202">
        <v>-2117.5500000000002</v>
      </c>
    </row>
    <row r="8203" spans="1:6" hidden="1" x14ac:dyDescent="0.25">
      <c r="A8203" t="s">
        <v>684</v>
      </c>
      <c r="B8203" t="s">
        <v>74</v>
      </c>
      <c r="E8203" s="3">
        <f>HYPERLINK("https://sao.dolgi.msk.ru/account/1404271792/", 1404271792)</f>
        <v>1404271792</v>
      </c>
      <c r="F8203">
        <v>0</v>
      </c>
    </row>
    <row r="8204" spans="1:6" hidden="1" x14ac:dyDescent="0.25">
      <c r="A8204" t="s">
        <v>684</v>
      </c>
      <c r="B8204" t="s">
        <v>75</v>
      </c>
      <c r="E8204" s="3">
        <f>HYPERLINK("https://sao.dolgi.msk.ru/account/1404271485/", 1404271485)</f>
        <v>1404271485</v>
      </c>
      <c r="F8204">
        <v>0</v>
      </c>
    </row>
    <row r="8205" spans="1:6" hidden="1" x14ac:dyDescent="0.25">
      <c r="A8205" t="s">
        <v>684</v>
      </c>
      <c r="B8205" t="s">
        <v>76</v>
      </c>
      <c r="E8205" s="3">
        <f>HYPERLINK("https://sao.dolgi.msk.ru/account/1404272875/", 1404272875)</f>
        <v>1404272875</v>
      </c>
      <c r="F8205">
        <v>-2491.3000000000002</v>
      </c>
    </row>
    <row r="8206" spans="1:6" hidden="1" x14ac:dyDescent="0.25">
      <c r="A8206" t="s">
        <v>684</v>
      </c>
      <c r="B8206" t="s">
        <v>77</v>
      </c>
      <c r="E8206" s="3">
        <f>HYPERLINK("https://sao.dolgi.msk.ru/account/1404272947/", 1404272947)</f>
        <v>1404272947</v>
      </c>
      <c r="F8206">
        <v>0</v>
      </c>
    </row>
    <row r="8207" spans="1:6" x14ac:dyDescent="0.25">
      <c r="A8207" t="s">
        <v>684</v>
      </c>
      <c r="B8207" t="s">
        <v>78</v>
      </c>
      <c r="C8207" s="5" t="str">
        <f>" кв. "&amp;B8207</f>
        <v xml:space="preserve"> кв. 74</v>
      </c>
      <c r="D8207" s="5" t="str">
        <f>CONCATENATE(A8207,C8207)</f>
        <v>Ленинградское шоссе, дом 118 к.1 кв. 74</v>
      </c>
      <c r="E8207" s="3">
        <f>HYPERLINK("https://sao.dolgi.msk.ru/account/1404271688/", 1404271688)</f>
        <v>1404271688</v>
      </c>
      <c r="F8207">
        <v>1236.73</v>
      </c>
    </row>
    <row r="8208" spans="1:6" hidden="1" x14ac:dyDescent="0.25">
      <c r="A8208" t="s">
        <v>684</v>
      </c>
      <c r="B8208" t="s">
        <v>79</v>
      </c>
      <c r="E8208" s="3">
        <f>HYPERLINK("https://sao.dolgi.msk.ru/account/1404272955/", 1404272955)</f>
        <v>1404272955</v>
      </c>
      <c r="F8208">
        <v>-1981.29</v>
      </c>
    </row>
    <row r="8209" spans="1:6" hidden="1" x14ac:dyDescent="0.25">
      <c r="A8209" t="s">
        <v>684</v>
      </c>
      <c r="B8209" t="s">
        <v>80</v>
      </c>
      <c r="E8209" s="3">
        <f>HYPERLINK("https://sao.dolgi.msk.ru/account/1404273165/", 1404273165)</f>
        <v>1404273165</v>
      </c>
      <c r="F8209">
        <v>0</v>
      </c>
    </row>
    <row r="8210" spans="1:6" hidden="1" x14ac:dyDescent="0.25">
      <c r="A8210" t="s">
        <v>684</v>
      </c>
      <c r="B8210" t="s">
        <v>81</v>
      </c>
      <c r="E8210" s="3">
        <f>HYPERLINK("https://sao.dolgi.msk.ru/account/1404272912/", 1404272912)</f>
        <v>1404272912</v>
      </c>
      <c r="F8210">
        <v>-2482.0500000000002</v>
      </c>
    </row>
    <row r="8211" spans="1:6" hidden="1" x14ac:dyDescent="0.25">
      <c r="A8211" t="s">
        <v>684</v>
      </c>
      <c r="B8211" t="s">
        <v>82</v>
      </c>
      <c r="E8211" s="3">
        <f>HYPERLINK("https://sao.dolgi.msk.ru/account/1404272445/", 1404272445)</f>
        <v>1404272445</v>
      </c>
      <c r="F8211">
        <v>0</v>
      </c>
    </row>
    <row r="8212" spans="1:6" hidden="1" x14ac:dyDescent="0.25">
      <c r="A8212" t="s">
        <v>684</v>
      </c>
      <c r="B8212" t="s">
        <v>83</v>
      </c>
      <c r="E8212" s="3">
        <f>HYPERLINK("https://sao.dolgi.msk.ru/account/1404271901/", 1404271901)</f>
        <v>1404271901</v>
      </c>
      <c r="F8212">
        <v>-2486.67</v>
      </c>
    </row>
    <row r="8213" spans="1:6" x14ac:dyDescent="0.25">
      <c r="A8213" t="s">
        <v>684</v>
      </c>
      <c r="B8213" t="s">
        <v>84</v>
      </c>
      <c r="C8213" s="5" t="str">
        <f>" кв. "&amp;B8213</f>
        <v xml:space="preserve"> кв. 80</v>
      </c>
      <c r="D8213" s="5" t="str">
        <f>CONCATENATE(A8213,C8213)</f>
        <v>Ленинградское шоссе, дом 118 к.1 кв. 80</v>
      </c>
      <c r="E8213" s="3">
        <f>HYPERLINK("https://sao.dolgi.msk.ru/account/1404272672/", 1404272672)</f>
        <v>1404272672</v>
      </c>
      <c r="F8213">
        <v>1673.23</v>
      </c>
    </row>
    <row r="8214" spans="1:6" hidden="1" x14ac:dyDescent="0.25">
      <c r="A8214" t="s">
        <v>684</v>
      </c>
      <c r="B8214" t="s">
        <v>85</v>
      </c>
      <c r="E8214" s="3">
        <f>HYPERLINK("https://sao.dolgi.msk.ru/account/1404271936/", 1404271936)</f>
        <v>1404271936</v>
      </c>
      <c r="F8214">
        <v>-1651.84</v>
      </c>
    </row>
    <row r="8215" spans="1:6" x14ac:dyDescent="0.25">
      <c r="A8215" t="s">
        <v>684</v>
      </c>
      <c r="B8215" t="s">
        <v>86</v>
      </c>
      <c r="C8215" s="5" t="str">
        <f>" кв. "&amp;B8215</f>
        <v xml:space="preserve"> кв. 82</v>
      </c>
      <c r="D8215" s="5" t="str">
        <f>CONCATENATE(A8215,C8215)</f>
        <v>Ленинградское шоссе, дом 118 к.1 кв. 82</v>
      </c>
      <c r="E8215" s="3">
        <f>HYPERLINK("https://sao.dolgi.msk.ru/account/1404271928/", 1404271928)</f>
        <v>1404271928</v>
      </c>
      <c r="F8215">
        <v>1613.13</v>
      </c>
    </row>
    <row r="8216" spans="1:6" hidden="1" x14ac:dyDescent="0.25">
      <c r="A8216" t="s">
        <v>684</v>
      </c>
      <c r="B8216" t="s">
        <v>87</v>
      </c>
      <c r="E8216" s="3">
        <f>HYPERLINK("https://sao.dolgi.msk.ru/account/1404272402/", 1404272402)</f>
        <v>1404272402</v>
      </c>
      <c r="F8216">
        <v>-2514.41</v>
      </c>
    </row>
    <row r="8217" spans="1:6" hidden="1" x14ac:dyDescent="0.25">
      <c r="A8217" t="s">
        <v>684</v>
      </c>
      <c r="B8217" t="s">
        <v>88</v>
      </c>
      <c r="E8217" s="3">
        <f>HYPERLINK("https://sao.dolgi.msk.ru/account/1404271645/", 1404271645)</f>
        <v>1404271645</v>
      </c>
      <c r="F8217">
        <v>-1577.08</v>
      </c>
    </row>
    <row r="8218" spans="1:6" hidden="1" x14ac:dyDescent="0.25">
      <c r="A8218" t="s">
        <v>684</v>
      </c>
      <c r="B8218" t="s">
        <v>89</v>
      </c>
      <c r="E8218" s="3">
        <f>HYPERLINK("https://sao.dolgi.msk.ru/account/1404272736/", 1404272736)</f>
        <v>1404272736</v>
      </c>
      <c r="F8218">
        <v>-1254.8900000000001</v>
      </c>
    </row>
    <row r="8219" spans="1:6" hidden="1" x14ac:dyDescent="0.25">
      <c r="A8219" t="s">
        <v>684</v>
      </c>
      <c r="B8219" t="s">
        <v>89</v>
      </c>
      <c r="E8219" s="3">
        <f>HYPERLINK("https://sao.dolgi.msk.ru/account/1404273069/", 1404273069)</f>
        <v>1404273069</v>
      </c>
      <c r="F8219">
        <v>-1254.8900000000001</v>
      </c>
    </row>
    <row r="8220" spans="1:6" x14ac:dyDescent="0.25">
      <c r="A8220" t="s">
        <v>684</v>
      </c>
      <c r="B8220" t="s">
        <v>90</v>
      </c>
      <c r="C8220" s="5" t="str">
        <f>" кв. "&amp;B8220</f>
        <v xml:space="preserve"> кв. 86</v>
      </c>
      <c r="D8220" s="5" t="str">
        <f>CONCATENATE(A8220,C8220)</f>
        <v>Ленинградское шоссе, дом 118 к.1 кв. 86</v>
      </c>
      <c r="E8220" s="3">
        <f>HYPERLINK("https://sao.dolgi.msk.ru/account/1404271493/", 1404271493)</f>
        <v>1404271493</v>
      </c>
      <c r="F8220">
        <v>1708.02</v>
      </c>
    </row>
    <row r="8221" spans="1:6" hidden="1" x14ac:dyDescent="0.25">
      <c r="A8221" t="s">
        <v>684</v>
      </c>
      <c r="B8221" t="s">
        <v>91</v>
      </c>
      <c r="E8221" s="3">
        <f>HYPERLINK("https://sao.dolgi.msk.ru/account/1404271805/", 1404271805)</f>
        <v>1404271805</v>
      </c>
      <c r="F8221">
        <v>-2431.1999999999998</v>
      </c>
    </row>
    <row r="8222" spans="1:6" x14ac:dyDescent="0.25">
      <c r="A8222" t="s">
        <v>684</v>
      </c>
      <c r="B8222" t="s">
        <v>92</v>
      </c>
      <c r="C8222" s="5" t="str">
        <f>" кв. "&amp;B8222</f>
        <v xml:space="preserve"> кв. 88</v>
      </c>
      <c r="D8222" s="5" t="str">
        <f>CONCATENATE(A8222,C8222)</f>
        <v>Ленинградское шоссе, дом 118 к.1 кв. 88</v>
      </c>
      <c r="E8222" s="3">
        <f>HYPERLINK("https://sao.dolgi.msk.ru/account/1404272007/", 1404272007)</f>
        <v>1404272007</v>
      </c>
      <c r="F8222">
        <v>1224.08</v>
      </c>
    </row>
    <row r="8223" spans="1:6" hidden="1" x14ac:dyDescent="0.25">
      <c r="A8223" t="s">
        <v>684</v>
      </c>
      <c r="B8223" t="s">
        <v>93</v>
      </c>
      <c r="E8223" s="3">
        <f>HYPERLINK("https://sao.dolgi.msk.ru/account/1404271506/", 1404271506)</f>
        <v>1404271506</v>
      </c>
      <c r="F8223">
        <v>-2357.25</v>
      </c>
    </row>
    <row r="8224" spans="1:6" x14ac:dyDescent="0.25">
      <c r="A8224" t="s">
        <v>684</v>
      </c>
      <c r="B8224" t="s">
        <v>94</v>
      </c>
      <c r="C8224" s="5" t="str">
        <f>" кв. "&amp;B8224</f>
        <v xml:space="preserve"> кв. 90</v>
      </c>
      <c r="D8224" s="5" t="str">
        <f>CONCATENATE(A8224,C8224)</f>
        <v>Ленинградское шоссе, дом 118 к.1 кв. 90</v>
      </c>
      <c r="E8224" s="3">
        <f>HYPERLINK("https://sao.dolgi.msk.ru/account/1404271514/", 1404271514)</f>
        <v>1404271514</v>
      </c>
      <c r="F8224">
        <v>1714.35</v>
      </c>
    </row>
    <row r="8225" spans="1:6" hidden="1" x14ac:dyDescent="0.25">
      <c r="A8225" t="s">
        <v>684</v>
      </c>
      <c r="B8225" t="s">
        <v>95</v>
      </c>
      <c r="E8225" s="3">
        <f>HYPERLINK("https://sao.dolgi.msk.ru/account/1404273077/", 1404273077)</f>
        <v>1404273077</v>
      </c>
      <c r="F8225">
        <v>-2094.19</v>
      </c>
    </row>
    <row r="8226" spans="1:6" hidden="1" x14ac:dyDescent="0.25">
      <c r="A8226" t="s">
        <v>684</v>
      </c>
      <c r="B8226" t="s">
        <v>96</v>
      </c>
      <c r="E8226" s="3">
        <f>HYPERLINK("https://sao.dolgi.msk.ru/account/1404271522/", 1404271522)</f>
        <v>1404271522</v>
      </c>
      <c r="F8226">
        <v>-1590.95</v>
      </c>
    </row>
    <row r="8227" spans="1:6" x14ac:dyDescent="0.25">
      <c r="A8227" t="s">
        <v>684</v>
      </c>
      <c r="B8227" t="s">
        <v>97</v>
      </c>
      <c r="C8227" s="5" t="str">
        <f>" кв. "&amp;B8227</f>
        <v xml:space="preserve"> кв. 93</v>
      </c>
      <c r="D8227" s="5" t="str">
        <f>CONCATENATE(A8227,C8227)</f>
        <v>Ленинградское шоссе, дом 118 к.1 кв. 93</v>
      </c>
      <c r="E8227" s="3">
        <f>HYPERLINK("https://sao.dolgi.msk.ru/account/1404272015/", 1404272015)</f>
        <v>1404272015</v>
      </c>
      <c r="F8227">
        <v>1043.79</v>
      </c>
    </row>
    <row r="8228" spans="1:6" hidden="1" x14ac:dyDescent="0.25">
      <c r="A8228" t="s">
        <v>684</v>
      </c>
      <c r="B8228" t="s">
        <v>98</v>
      </c>
      <c r="E8228" s="3">
        <f>HYPERLINK("https://sao.dolgi.msk.ru/account/1404272023/", 1404272023)</f>
        <v>1404272023</v>
      </c>
      <c r="F8228">
        <v>-1349.49</v>
      </c>
    </row>
    <row r="8229" spans="1:6" hidden="1" x14ac:dyDescent="0.25">
      <c r="A8229" t="s">
        <v>684</v>
      </c>
      <c r="B8229" t="s">
        <v>99</v>
      </c>
      <c r="E8229" s="3">
        <f>HYPERLINK("https://sao.dolgi.msk.ru/account/1404272322/", 1404272322)</f>
        <v>1404272322</v>
      </c>
      <c r="F8229">
        <v>-1784.12</v>
      </c>
    </row>
    <row r="8230" spans="1:6" hidden="1" x14ac:dyDescent="0.25">
      <c r="A8230" t="s">
        <v>684</v>
      </c>
      <c r="B8230" t="s">
        <v>100</v>
      </c>
      <c r="E8230" s="3">
        <f>HYPERLINK("https://sao.dolgi.msk.ru/account/1404272576/", 1404272576)</f>
        <v>1404272576</v>
      </c>
      <c r="F8230">
        <v>-2343.38</v>
      </c>
    </row>
    <row r="8231" spans="1:6" hidden="1" x14ac:dyDescent="0.25">
      <c r="A8231" t="s">
        <v>684</v>
      </c>
      <c r="B8231" t="s">
        <v>101</v>
      </c>
      <c r="E8231" s="3">
        <f>HYPERLINK("https://sao.dolgi.msk.ru/account/1404271821/", 1404271821)</f>
        <v>1404271821</v>
      </c>
      <c r="F8231">
        <v>-1449.42</v>
      </c>
    </row>
    <row r="8232" spans="1:6" hidden="1" x14ac:dyDescent="0.25">
      <c r="A8232" t="s">
        <v>684</v>
      </c>
      <c r="B8232" t="s">
        <v>102</v>
      </c>
      <c r="E8232" s="3">
        <f>HYPERLINK("https://sao.dolgi.msk.ru/account/1404272031/", 1404272031)</f>
        <v>1404272031</v>
      </c>
      <c r="F8232">
        <v>-1567.84</v>
      </c>
    </row>
    <row r="8233" spans="1:6" x14ac:dyDescent="0.25">
      <c r="A8233" t="s">
        <v>684</v>
      </c>
      <c r="B8233" t="s">
        <v>103</v>
      </c>
      <c r="C8233" s="5" t="str">
        <f>" кв. "&amp;B8233</f>
        <v xml:space="preserve"> кв. 99</v>
      </c>
      <c r="D8233" s="5" t="str">
        <f>CONCATENATE(A8233,C8233)</f>
        <v>Ленинградское шоссе, дом 118 к.1 кв. 99</v>
      </c>
      <c r="E8233" s="3">
        <f>HYPERLINK("https://sao.dolgi.msk.ru/account/1404272357/", 1404272357)</f>
        <v>1404272357</v>
      </c>
      <c r="F8233">
        <v>1704.86</v>
      </c>
    </row>
    <row r="8234" spans="1:6" hidden="1" x14ac:dyDescent="0.25">
      <c r="A8234" t="s">
        <v>684</v>
      </c>
      <c r="B8234" t="s">
        <v>104</v>
      </c>
      <c r="E8234" s="3">
        <f>HYPERLINK("https://sao.dolgi.msk.ru/account/1404272808/", 1404272808)</f>
        <v>1404272808</v>
      </c>
      <c r="F8234">
        <v>-2495.92</v>
      </c>
    </row>
    <row r="8235" spans="1:6" hidden="1" x14ac:dyDescent="0.25">
      <c r="A8235" t="s">
        <v>684</v>
      </c>
      <c r="B8235" t="s">
        <v>105</v>
      </c>
      <c r="E8235" s="3">
        <f>HYPERLINK("https://sao.dolgi.msk.ru/account/1404271899/", 1404271899)</f>
        <v>1404271899</v>
      </c>
      <c r="F8235">
        <v>-2426.6</v>
      </c>
    </row>
    <row r="8236" spans="1:6" hidden="1" x14ac:dyDescent="0.25">
      <c r="A8236" t="s">
        <v>684</v>
      </c>
      <c r="B8236" t="s">
        <v>106</v>
      </c>
      <c r="E8236" s="3">
        <f>HYPERLINK("https://sao.dolgi.msk.ru/account/1404272197/", 1404272197)</f>
        <v>1404272197</v>
      </c>
      <c r="F8236">
        <v>-1788.74</v>
      </c>
    </row>
    <row r="8237" spans="1:6" hidden="1" x14ac:dyDescent="0.25">
      <c r="A8237" t="s">
        <v>684</v>
      </c>
      <c r="B8237" t="s">
        <v>107</v>
      </c>
      <c r="E8237" s="3">
        <f>HYPERLINK("https://sao.dolgi.msk.ru/account/1404272429/", 1404272429)</f>
        <v>1404272429</v>
      </c>
      <c r="F8237">
        <v>0</v>
      </c>
    </row>
    <row r="8238" spans="1:6" hidden="1" x14ac:dyDescent="0.25">
      <c r="A8238" t="s">
        <v>684</v>
      </c>
      <c r="B8238" t="s">
        <v>108</v>
      </c>
      <c r="E8238" s="3">
        <f>HYPERLINK("https://sao.dolgi.msk.ru/account/1404271653/", 1404271653)</f>
        <v>1404271653</v>
      </c>
      <c r="F8238">
        <v>0</v>
      </c>
    </row>
    <row r="8239" spans="1:6" hidden="1" x14ac:dyDescent="0.25">
      <c r="A8239" t="s">
        <v>684</v>
      </c>
      <c r="B8239" t="s">
        <v>109</v>
      </c>
      <c r="E8239" s="3">
        <f>HYPERLINK("https://sao.dolgi.msk.ru/account/1404272277/", 1404272277)</f>
        <v>1404272277</v>
      </c>
      <c r="F8239">
        <v>-2482.0500000000002</v>
      </c>
    </row>
    <row r="8240" spans="1:6" hidden="1" x14ac:dyDescent="0.25">
      <c r="A8240" t="s">
        <v>684</v>
      </c>
      <c r="B8240" t="s">
        <v>110</v>
      </c>
      <c r="E8240" s="3">
        <f>HYPERLINK("https://sao.dolgi.msk.ru/account/1404272218/", 1404272218)</f>
        <v>1404272218</v>
      </c>
      <c r="F8240">
        <v>0</v>
      </c>
    </row>
    <row r="8241" spans="1:6" x14ac:dyDescent="0.25">
      <c r="A8241" t="s">
        <v>684</v>
      </c>
      <c r="B8241" t="s">
        <v>111</v>
      </c>
      <c r="C8241" s="5" t="str">
        <f>" кв. "&amp;B8241</f>
        <v xml:space="preserve"> кв. 107</v>
      </c>
      <c r="D8241" s="5" t="str">
        <f>CONCATENATE(A8241,C8241)</f>
        <v>Ленинградское шоссе, дом 118 к.1 кв. 107</v>
      </c>
      <c r="E8241" s="3">
        <f>HYPERLINK("https://sao.dolgi.msk.ru/account/1404272664/", 1404272664)</f>
        <v>1404272664</v>
      </c>
      <c r="F8241">
        <v>1189.28</v>
      </c>
    </row>
    <row r="8242" spans="1:6" hidden="1" x14ac:dyDescent="0.25">
      <c r="A8242" t="s">
        <v>684</v>
      </c>
      <c r="B8242" t="s">
        <v>112</v>
      </c>
      <c r="E8242" s="3">
        <f>HYPERLINK("https://sao.dolgi.msk.ru/account/1404271661/", 1404271661)</f>
        <v>1404271661</v>
      </c>
      <c r="F8242">
        <v>-2417.35</v>
      </c>
    </row>
    <row r="8243" spans="1:6" hidden="1" x14ac:dyDescent="0.25">
      <c r="A8243" t="s">
        <v>684</v>
      </c>
      <c r="B8243" t="s">
        <v>113</v>
      </c>
      <c r="E8243" s="3">
        <f>HYPERLINK("https://sao.dolgi.msk.ru/account/1404271944/", 1404271944)</f>
        <v>1404271944</v>
      </c>
      <c r="F8243">
        <v>-1774.87</v>
      </c>
    </row>
    <row r="8244" spans="1:6" hidden="1" x14ac:dyDescent="0.25">
      <c r="A8244" t="s">
        <v>684</v>
      </c>
      <c r="B8244" t="s">
        <v>114</v>
      </c>
      <c r="E8244" s="3">
        <f>HYPERLINK("https://sao.dolgi.msk.ru/account/1404271717/", 1404271717)</f>
        <v>1404271717</v>
      </c>
      <c r="F8244">
        <v>0</v>
      </c>
    </row>
    <row r="8245" spans="1:6" x14ac:dyDescent="0.25">
      <c r="A8245" t="s">
        <v>684</v>
      </c>
      <c r="B8245" t="s">
        <v>115</v>
      </c>
      <c r="C8245" s="5" t="str">
        <f>" кв. "&amp;B8245</f>
        <v xml:space="preserve"> кв. 111</v>
      </c>
      <c r="D8245" s="5" t="str">
        <f>CONCATENATE(A8245,C8245)</f>
        <v>Ленинградское шоссе, дом 118 к.1 кв. 111</v>
      </c>
      <c r="E8245" s="3">
        <f>HYPERLINK("https://sao.dolgi.msk.ru/account/1404272824/", 1404272824)</f>
        <v>1404272824</v>
      </c>
      <c r="F8245">
        <v>1711.18</v>
      </c>
    </row>
    <row r="8246" spans="1:6" hidden="1" x14ac:dyDescent="0.25">
      <c r="A8246" t="s">
        <v>684</v>
      </c>
      <c r="B8246" t="s">
        <v>116</v>
      </c>
      <c r="E8246" s="3">
        <f>HYPERLINK("https://sao.dolgi.msk.ru/account/1404271725/", 1404271725)</f>
        <v>1404271725</v>
      </c>
      <c r="F8246">
        <v>-2468.1799999999998</v>
      </c>
    </row>
    <row r="8247" spans="1:6" hidden="1" x14ac:dyDescent="0.25">
      <c r="A8247" t="s">
        <v>684</v>
      </c>
      <c r="B8247" t="s">
        <v>117</v>
      </c>
      <c r="E8247" s="3">
        <f>HYPERLINK("https://sao.dolgi.msk.ru/account/1404272461/", 1404272461)</f>
        <v>1404272461</v>
      </c>
      <c r="F8247">
        <v>0</v>
      </c>
    </row>
    <row r="8248" spans="1:6" hidden="1" x14ac:dyDescent="0.25">
      <c r="A8248" t="s">
        <v>684</v>
      </c>
      <c r="B8248" t="s">
        <v>118</v>
      </c>
      <c r="E8248" s="3">
        <f>HYPERLINK("https://sao.dolgi.msk.ru/account/1404272488/", 1404272488)</f>
        <v>1404272488</v>
      </c>
      <c r="F8248">
        <v>-2662.31</v>
      </c>
    </row>
    <row r="8249" spans="1:6" hidden="1" x14ac:dyDescent="0.25">
      <c r="A8249" t="s">
        <v>684</v>
      </c>
      <c r="B8249" t="s">
        <v>119</v>
      </c>
      <c r="E8249" s="3">
        <f>HYPERLINK("https://sao.dolgi.msk.ru/account/1404272971/", 1404272971)</f>
        <v>1404272971</v>
      </c>
      <c r="F8249">
        <v>-1472.76</v>
      </c>
    </row>
    <row r="8250" spans="1:6" hidden="1" x14ac:dyDescent="0.25">
      <c r="A8250" t="s">
        <v>684</v>
      </c>
      <c r="B8250" t="s">
        <v>120</v>
      </c>
      <c r="E8250" s="3">
        <f>HYPERLINK("https://sao.dolgi.msk.ru/account/1404271733/", 1404271733)</f>
        <v>1404271733</v>
      </c>
      <c r="F8250">
        <v>-1774.87</v>
      </c>
    </row>
    <row r="8251" spans="1:6" hidden="1" x14ac:dyDescent="0.25">
      <c r="A8251" t="s">
        <v>684</v>
      </c>
      <c r="B8251" t="s">
        <v>121</v>
      </c>
      <c r="E8251" s="3">
        <f>HYPERLINK("https://sao.dolgi.msk.ru/account/1404272998/", 1404272998)</f>
        <v>1404272998</v>
      </c>
      <c r="F8251">
        <v>-2454.31</v>
      </c>
    </row>
    <row r="8252" spans="1:6" hidden="1" x14ac:dyDescent="0.25">
      <c r="A8252" t="s">
        <v>684</v>
      </c>
      <c r="B8252" t="s">
        <v>122</v>
      </c>
      <c r="E8252" s="3">
        <f>HYPERLINK("https://sao.dolgi.msk.ru/account/1404272728/", 1404272728)</f>
        <v>1404272728</v>
      </c>
      <c r="F8252">
        <v>-2676.18</v>
      </c>
    </row>
    <row r="8253" spans="1:6" x14ac:dyDescent="0.25">
      <c r="A8253" t="s">
        <v>684</v>
      </c>
      <c r="B8253" t="s">
        <v>123</v>
      </c>
      <c r="C8253" s="5" t="str">
        <f>" кв. "&amp;B8253</f>
        <v xml:space="preserve"> кв. 119</v>
      </c>
      <c r="D8253" s="5" t="str">
        <f>CONCATENATE(A8253,C8253)</f>
        <v>Ленинградское шоссе, дом 118 к.1 кв. 119</v>
      </c>
      <c r="E8253" s="3">
        <f>HYPERLINK("https://sao.dolgi.msk.ru/account/1404273202/", 1404273202)</f>
        <v>1404273202</v>
      </c>
      <c r="F8253">
        <v>1265.2</v>
      </c>
    </row>
    <row r="8254" spans="1:6" hidden="1" x14ac:dyDescent="0.25">
      <c r="A8254" t="s">
        <v>684</v>
      </c>
      <c r="B8254" t="s">
        <v>124</v>
      </c>
      <c r="E8254" s="3">
        <f>HYPERLINK("https://sao.dolgi.msk.ru/account/1404272496/", 1404272496)</f>
        <v>1404272496</v>
      </c>
      <c r="F8254">
        <v>-2653.06</v>
      </c>
    </row>
    <row r="8255" spans="1:6" hidden="1" x14ac:dyDescent="0.25">
      <c r="A8255" t="s">
        <v>684</v>
      </c>
      <c r="B8255" t="s">
        <v>125</v>
      </c>
      <c r="E8255" s="3">
        <f>HYPERLINK("https://sao.dolgi.msk.ru/account/1404273149/", 1404273149)</f>
        <v>1404273149</v>
      </c>
      <c r="F8255">
        <v>0</v>
      </c>
    </row>
    <row r="8256" spans="1:6" x14ac:dyDescent="0.25">
      <c r="A8256" t="s">
        <v>684</v>
      </c>
      <c r="B8256" t="s">
        <v>126</v>
      </c>
      <c r="C8256" s="5" t="str">
        <f>" кв. "&amp;B8256</f>
        <v xml:space="preserve"> кв. 122</v>
      </c>
      <c r="D8256" s="5" t="str">
        <f>CONCATENATE(A8256,C8256)</f>
        <v>Ленинградское шоссе, дом 118 к.1 кв. 122</v>
      </c>
      <c r="E8256" s="3">
        <f>HYPERLINK("https://sao.dolgi.msk.ru/account/1404272381/", 1404272381)</f>
        <v>1404272381</v>
      </c>
      <c r="F8256">
        <v>1745.98</v>
      </c>
    </row>
    <row r="8257" spans="1:6" hidden="1" x14ac:dyDescent="0.25">
      <c r="A8257" t="s">
        <v>684</v>
      </c>
      <c r="B8257" t="s">
        <v>127</v>
      </c>
      <c r="E8257" s="3">
        <f>HYPERLINK("https://sao.dolgi.msk.ru/account/1404272891/", 1404272891)</f>
        <v>1404272891</v>
      </c>
      <c r="F8257">
        <v>-1784.12</v>
      </c>
    </row>
    <row r="8258" spans="1:6" hidden="1" x14ac:dyDescent="0.25">
      <c r="A8258" t="s">
        <v>684</v>
      </c>
      <c r="B8258" t="s">
        <v>128</v>
      </c>
      <c r="E8258" s="3">
        <f>HYPERLINK("https://sao.dolgi.msk.ru/account/1404272904/", 1404272904)</f>
        <v>1404272904</v>
      </c>
      <c r="F8258">
        <v>-2463.56</v>
      </c>
    </row>
    <row r="8259" spans="1:6" x14ac:dyDescent="0.25">
      <c r="A8259" t="s">
        <v>684</v>
      </c>
      <c r="B8259" t="s">
        <v>129</v>
      </c>
      <c r="C8259" s="5" t="str">
        <f>" кв. "&amp;B8259</f>
        <v xml:space="preserve"> кв. 125</v>
      </c>
      <c r="D8259" s="5" t="str">
        <f>CONCATENATE(A8259,C8259)</f>
        <v>Ленинградское шоссе, дом 118 к.1 кв. 125</v>
      </c>
      <c r="E8259" s="3">
        <f>HYPERLINK("https://sao.dolgi.msk.ru/account/1404271637/", 1404271637)</f>
        <v>1404271637</v>
      </c>
      <c r="F8259">
        <v>1831.38</v>
      </c>
    </row>
    <row r="8260" spans="1:6" hidden="1" x14ac:dyDescent="0.25">
      <c r="A8260" t="s">
        <v>684</v>
      </c>
      <c r="B8260" t="s">
        <v>130</v>
      </c>
      <c r="E8260" s="3">
        <f>HYPERLINK("https://sao.dolgi.msk.ru/account/1404273157/", 1404273157)</f>
        <v>1404273157</v>
      </c>
      <c r="F8260">
        <v>-2606.85</v>
      </c>
    </row>
    <row r="8261" spans="1:6" hidden="1" x14ac:dyDescent="0.25">
      <c r="A8261" t="s">
        <v>684</v>
      </c>
      <c r="B8261" t="s">
        <v>131</v>
      </c>
      <c r="E8261" s="3">
        <f>HYPERLINK("https://sao.dolgi.msk.ru/account/1404272613/", 1404272613)</f>
        <v>1404272613</v>
      </c>
      <c r="F8261">
        <v>0</v>
      </c>
    </row>
    <row r="8262" spans="1:6" hidden="1" x14ac:dyDescent="0.25">
      <c r="A8262" t="s">
        <v>684</v>
      </c>
      <c r="B8262" t="s">
        <v>132</v>
      </c>
      <c r="E8262" s="3">
        <f>HYPERLINK("https://sao.dolgi.msk.ru/account/1404273085/", 1404273085)</f>
        <v>1404273085</v>
      </c>
      <c r="F8262">
        <v>-2648.44</v>
      </c>
    </row>
    <row r="8263" spans="1:6" hidden="1" x14ac:dyDescent="0.25">
      <c r="A8263" t="s">
        <v>684</v>
      </c>
      <c r="B8263" t="s">
        <v>133</v>
      </c>
      <c r="E8263" s="3">
        <f>HYPERLINK("https://sao.dolgi.msk.ru/account/1404271602/", 1404271602)</f>
        <v>1404271602</v>
      </c>
      <c r="F8263">
        <v>0</v>
      </c>
    </row>
    <row r="8264" spans="1:6" x14ac:dyDescent="0.25">
      <c r="A8264" t="s">
        <v>684</v>
      </c>
      <c r="B8264" t="s">
        <v>134</v>
      </c>
      <c r="C8264" s="5" t="str">
        <f>" кв. "&amp;B8264</f>
        <v xml:space="preserve"> кв. 130</v>
      </c>
      <c r="D8264" s="5" t="str">
        <f>CONCATENATE(A8264,C8264)</f>
        <v>Ленинградское шоссе, дом 118 к.1 кв. 130</v>
      </c>
      <c r="E8264" s="3">
        <f>HYPERLINK("https://sao.dolgi.msk.ru/account/1404271872/", 1404271872)</f>
        <v>1404271872</v>
      </c>
      <c r="F8264">
        <v>1208.27</v>
      </c>
    </row>
    <row r="8265" spans="1:6" hidden="1" x14ac:dyDescent="0.25">
      <c r="A8265" t="s">
        <v>684</v>
      </c>
      <c r="B8265" t="s">
        <v>135</v>
      </c>
      <c r="E8265" s="3">
        <f>HYPERLINK("https://sao.dolgi.msk.ru/account/1404272648/", 1404272648)</f>
        <v>1404272648</v>
      </c>
      <c r="F8265">
        <v>-1572.46</v>
      </c>
    </row>
    <row r="8266" spans="1:6" hidden="1" x14ac:dyDescent="0.25">
      <c r="A8266" t="s">
        <v>684</v>
      </c>
      <c r="B8266" t="s">
        <v>136</v>
      </c>
      <c r="E8266" s="3">
        <f>HYPERLINK("https://sao.dolgi.msk.ru/account/1404272103/", 1404272103)</f>
        <v>1404272103</v>
      </c>
      <c r="F8266">
        <v>-2662.31</v>
      </c>
    </row>
    <row r="8267" spans="1:6" x14ac:dyDescent="0.25">
      <c r="A8267" t="s">
        <v>684</v>
      </c>
      <c r="B8267" t="s">
        <v>137</v>
      </c>
      <c r="C8267" s="5" t="str">
        <f>" кв. "&amp;B8267</f>
        <v xml:space="preserve"> кв. 133</v>
      </c>
      <c r="D8267" s="5" t="str">
        <f>CONCATENATE(A8267,C8267)</f>
        <v>Ленинградское шоссе, дом 118 к.1 кв. 133</v>
      </c>
      <c r="E8267" s="3">
        <f>HYPERLINK("https://sao.dolgi.msk.ru/account/1404271629/", 1404271629)</f>
        <v>1404271629</v>
      </c>
      <c r="F8267">
        <v>1793.42</v>
      </c>
    </row>
    <row r="8268" spans="1:6" hidden="1" x14ac:dyDescent="0.25">
      <c r="A8268" t="s">
        <v>684</v>
      </c>
      <c r="B8268" t="s">
        <v>138</v>
      </c>
      <c r="E8268" s="3">
        <f>HYPERLINK("https://sao.dolgi.msk.ru/account/1404272373/", 1404272373)</f>
        <v>1404272373</v>
      </c>
      <c r="F8268">
        <v>0</v>
      </c>
    </row>
    <row r="8269" spans="1:6" hidden="1" x14ac:dyDescent="0.25">
      <c r="A8269" t="s">
        <v>684</v>
      </c>
      <c r="B8269" t="s">
        <v>139</v>
      </c>
      <c r="E8269" s="3">
        <f>HYPERLINK("https://sao.dolgi.msk.ru/account/1404272111/", 1404272111)</f>
        <v>1404272111</v>
      </c>
      <c r="F8269">
        <v>-2657.69</v>
      </c>
    </row>
    <row r="8270" spans="1:6" hidden="1" x14ac:dyDescent="0.25">
      <c r="A8270" t="s">
        <v>684</v>
      </c>
      <c r="B8270" t="s">
        <v>140</v>
      </c>
      <c r="E8270" s="3">
        <f>HYPERLINK("https://sao.dolgi.msk.ru/account/1404273106/", 1404273106)</f>
        <v>1404273106</v>
      </c>
      <c r="F8270">
        <v>0</v>
      </c>
    </row>
    <row r="8271" spans="1:6" x14ac:dyDescent="0.25">
      <c r="A8271" t="s">
        <v>684</v>
      </c>
      <c r="B8271" t="s">
        <v>141</v>
      </c>
      <c r="C8271" s="5" t="str">
        <f>" кв. "&amp;B8271</f>
        <v xml:space="preserve"> кв. 137</v>
      </c>
      <c r="D8271" s="5" t="str">
        <f>CONCATENATE(A8271,C8271)</f>
        <v>Ленинградское шоссе, дом 118 к.1 кв. 137</v>
      </c>
      <c r="E8271" s="3">
        <f>HYPERLINK("https://sao.dolgi.msk.ru/account/1404272138/", 1404272138)</f>
        <v>1404272138</v>
      </c>
      <c r="F8271">
        <v>1208.27</v>
      </c>
    </row>
    <row r="8272" spans="1:6" hidden="1" x14ac:dyDescent="0.25">
      <c r="A8272" t="s">
        <v>684</v>
      </c>
      <c r="B8272" t="s">
        <v>142</v>
      </c>
      <c r="E8272" s="3">
        <f>HYPERLINK("https://sao.dolgi.msk.ru/account/1404273114/", 1404273114)</f>
        <v>1404273114</v>
      </c>
      <c r="F8272">
        <v>0</v>
      </c>
    </row>
    <row r="8273" spans="1:6" hidden="1" x14ac:dyDescent="0.25">
      <c r="A8273" t="s">
        <v>684</v>
      </c>
      <c r="B8273" t="s">
        <v>143</v>
      </c>
      <c r="E8273" s="3">
        <f>HYPERLINK("https://sao.dolgi.msk.ru/account/1404273229/", 1404273229)</f>
        <v>1404273229</v>
      </c>
      <c r="F8273">
        <v>-2666.93</v>
      </c>
    </row>
    <row r="8274" spans="1:6" hidden="1" x14ac:dyDescent="0.25">
      <c r="A8274" t="s">
        <v>684</v>
      </c>
      <c r="B8274" t="s">
        <v>144</v>
      </c>
      <c r="E8274" s="3">
        <f>HYPERLINK("https://sao.dolgi.msk.ru/account/1404271741/", 1404271741)</f>
        <v>1404271741</v>
      </c>
      <c r="F8274">
        <v>-2625.34</v>
      </c>
    </row>
    <row r="8275" spans="1:6" hidden="1" x14ac:dyDescent="0.25">
      <c r="A8275" t="s">
        <v>684</v>
      </c>
      <c r="B8275" t="s">
        <v>145</v>
      </c>
      <c r="E8275" s="3">
        <f>HYPERLINK("https://sao.dolgi.msk.ru/account/1404271768/", 1404271768)</f>
        <v>1404271768</v>
      </c>
      <c r="F8275">
        <v>-2639.19</v>
      </c>
    </row>
    <row r="8276" spans="1:6" hidden="1" x14ac:dyDescent="0.25">
      <c r="A8276" t="s">
        <v>684</v>
      </c>
      <c r="B8276" t="s">
        <v>146</v>
      </c>
      <c r="E8276" s="3">
        <f>HYPERLINK("https://sao.dolgi.msk.ru/account/1404273026/", 1404273026)</f>
        <v>1404273026</v>
      </c>
      <c r="F8276">
        <v>-2648.44</v>
      </c>
    </row>
    <row r="8277" spans="1:6" hidden="1" x14ac:dyDescent="0.25">
      <c r="A8277" t="s">
        <v>684</v>
      </c>
      <c r="B8277" t="s">
        <v>147</v>
      </c>
      <c r="E8277" s="3">
        <f>HYPERLINK("https://sao.dolgi.msk.ru/account/1404272269/", 1404272269)</f>
        <v>1404272269</v>
      </c>
      <c r="F8277">
        <v>-2569.87</v>
      </c>
    </row>
    <row r="8278" spans="1:6" x14ac:dyDescent="0.25">
      <c r="A8278" t="s">
        <v>684</v>
      </c>
      <c r="B8278" t="s">
        <v>148</v>
      </c>
      <c r="C8278" s="5" t="str">
        <f>" кв. "&amp;B8278</f>
        <v xml:space="preserve"> кв. 144</v>
      </c>
      <c r="D8278" s="5" t="str">
        <f>CONCATENATE(A8278,C8278)</f>
        <v>Ленинградское шоссе, дом 118 к.1 кв. 144</v>
      </c>
      <c r="E8278" s="3">
        <f>HYPERLINK("https://sao.dolgi.msk.ru/account/1404272293/", 1404272293)</f>
        <v>1404272293</v>
      </c>
      <c r="F8278">
        <v>1217.76</v>
      </c>
    </row>
    <row r="8279" spans="1:6" hidden="1" x14ac:dyDescent="0.25">
      <c r="A8279" t="s">
        <v>684</v>
      </c>
      <c r="B8279" t="s">
        <v>149</v>
      </c>
      <c r="E8279" s="3">
        <f>HYPERLINK("https://sao.dolgi.msk.ru/account/1404273034/", 1404273034)</f>
        <v>1404273034</v>
      </c>
      <c r="F8279">
        <v>0</v>
      </c>
    </row>
    <row r="8280" spans="1:6" hidden="1" x14ac:dyDescent="0.25">
      <c r="A8280" t="s">
        <v>684</v>
      </c>
      <c r="B8280" t="s">
        <v>150</v>
      </c>
      <c r="E8280" s="3">
        <f>HYPERLINK("https://sao.dolgi.msk.ru/account/1404271434/", 1404271434)</f>
        <v>1404271434</v>
      </c>
      <c r="F8280">
        <v>0</v>
      </c>
    </row>
    <row r="8281" spans="1:6" x14ac:dyDescent="0.25">
      <c r="A8281" t="s">
        <v>684</v>
      </c>
      <c r="B8281" t="s">
        <v>151</v>
      </c>
      <c r="C8281" s="5" t="str">
        <f>" кв. "&amp;B8281</f>
        <v xml:space="preserve"> кв. 147</v>
      </c>
      <c r="D8281" s="5" t="str">
        <f>CONCATENATE(A8281,C8281)</f>
        <v>Ленинградское шоссе, дом 118 к.1 кв. 147</v>
      </c>
      <c r="E8281" s="3">
        <f>HYPERLINK("https://sao.dolgi.msk.ru/account/1404271442/", 1404271442)</f>
        <v>1404271442</v>
      </c>
      <c r="F8281">
        <v>1780.77</v>
      </c>
    </row>
    <row r="8282" spans="1:6" hidden="1" x14ac:dyDescent="0.25">
      <c r="A8282" t="s">
        <v>685</v>
      </c>
      <c r="B8282" t="s">
        <v>5</v>
      </c>
      <c r="E8282" s="3">
        <f>HYPERLINK("https://sao.dolgi.msk.ru/account/1404174626/", 1404174626)</f>
        <v>1404174626</v>
      </c>
      <c r="F8282">
        <v>0</v>
      </c>
    </row>
    <row r="8283" spans="1:6" x14ac:dyDescent="0.25">
      <c r="A8283" t="s">
        <v>685</v>
      </c>
      <c r="B8283" t="s">
        <v>6</v>
      </c>
      <c r="C8283" s="5" t="str">
        <f t="shared" ref="C8283:C8284" si="343">" кв. "&amp;B8283</f>
        <v xml:space="preserve"> кв. 2</v>
      </c>
      <c r="D8283" s="5" t="str">
        <f>CONCATENATE(A8283,C8283)</f>
        <v>Ленинградское шоссе, дом 120 к.3 кв. 2</v>
      </c>
      <c r="E8283" s="3">
        <f>HYPERLINK("https://sao.dolgi.msk.ru/account/1404171476/", 1404171476)</f>
        <v>1404171476</v>
      </c>
      <c r="F8283">
        <v>12061.1</v>
      </c>
    </row>
    <row r="8284" spans="1:6" x14ac:dyDescent="0.25">
      <c r="A8284" t="s">
        <v>685</v>
      </c>
      <c r="B8284" t="s">
        <v>7</v>
      </c>
      <c r="C8284" s="5" t="str">
        <f t="shared" si="343"/>
        <v xml:space="preserve"> кв. 3</v>
      </c>
      <c r="D8284" s="5" t="str">
        <f>CONCATENATE(A8284,C8284)</f>
        <v>Ленинградское шоссе, дом 120 к.3 кв. 3</v>
      </c>
      <c r="E8284" s="3">
        <f>HYPERLINK("https://sao.dolgi.msk.ru/account/1404174124/", 1404174124)</f>
        <v>1404174124</v>
      </c>
      <c r="F8284">
        <v>23314.97</v>
      </c>
    </row>
    <row r="8285" spans="1:6" hidden="1" x14ac:dyDescent="0.25">
      <c r="A8285" t="s">
        <v>685</v>
      </c>
      <c r="B8285" t="s">
        <v>8</v>
      </c>
      <c r="E8285" s="3">
        <f>HYPERLINK("https://sao.dolgi.msk.ru/account/1404171599/", 1404171599)</f>
        <v>1404171599</v>
      </c>
      <c r="F8285">
        <v>-12708.07</v>
      </c>
    </row>
    <row r="8286" spans="1:6" hidden="1" x14ac:dyDescent="0.25">
      <c r="A8286" t="s">
        <v>685</v>
      </c>
      <c r="B8286" t="s">
        <v>9</v>
      </c>
      <c r="E8286" s="3">
        <f>HYPERLINK("https://sao.dolgi.msk.ru/account/1404174052/", 1404174052)</f>
        <v>1404174052</v>
      </c>
      <c r="F8286">
        <v>0</v>
      </c>
    </row>
    <row r="8287" spans="1:6" x14ac:dyDescent="0.25">
      <c r="A8287" t="s">
        <v>685</v>
      </c>
      <c r="B8287" t="s">
        <v>10</v>
      </c>
      <c r="C8287" s="5" t="str">
        <f>" кв. "&amp;B8287</f>
        <v xml:space="preserve"> кв. 6</v>
      </c>
      <c r="D8287" s="5" t="str">
        <f>CONCATENATE(A8287,C8287)</f>
        <v>Ленинградское шоссе, дом 120 к.3 кв. 6</v>
      </c>
      <c r="E8287" s="3">
        <f>HYPERLINK("https://sao.dolgi.msk.ru/account/1404174087/", 1404174087)</f>
        <v>1404174087</v>
      </c>
      <c r="F8287">
        <v>49975.47</v>
      </c>
    </row>
    <row r="8288" spans="1:6" hidden="1" x14ac:dyDescent="0.25">
      <c r="A8288" t="s">
        <v>685</v>
      </c>
      <c r="B8288" t="s">
        <v>11</v>
      </c>
      <c r="E8288" s="3">
        <f>HYPERLINK("https://sao.dolgi.msk.ru/account/1404174407/", 1404174407)</f>
        <v>1404174407</v>
      </c>
      <c r="F8288">
        <v>0</v>
      </c>
    </row>
    <row r="8289" spans="1:6" x14ac:dyDescent="0.25">
      <c r="A8289" t="s">
        <v>685</v>
      </c>
      <c r="B8289" t="s">
        <v>12</v>
      </c>
      <c r="C8289" s="5" t="str">
        <f t="shared" ref="C8289:C8292" si="344">" кв. "&amp;B8289</f>
        <v xml:space="preserve"> кв. 8</v>
      </c>
      <c r="D8289" s="5" t="str">
        <f>CONCATENATE(A8289,C8289)</f>
        <v>Ленинградское шоссе, дом 120 к.3 кв. 8</v>
      </c>
      <c r="E8289" s="3">
        <f>HYPERLINK("https://sao.dolgi.msk.ru/account/1404174183/", 1404174183)</f>
        <v>1404174183</v>
      </c>
      <c r="F8289">
        <v>1124.8599999999999</v>
      </c>
    </row>
    <row r="8290" spans="1:6" x14ac:dyDescent="0.25">
      <c r="A8290" t="s">
        <v>685</v>
      </c>
      <c r="B8290" t="s">
        <v>13</v>
      </c>
      <c r="C8290" s="5" t="str">
        <f t="shared" si="344"/>
        <v xml:space="preserve"> кв. 9</v>
      </c>
      <c r="D8290" s="5" t="str">
        <f>CONCATENATE(A8290,C8290)</f>
        <v>Ленинградское шоссе, дом 120 к.3 кв. 9</v>
      </c>
      <c r="E8290" s="3">
        <f>HYPERLINK("https://sao.dolgi.msk.ru/account/1404174159/", 1404174159)</f>
        <v>1404174159</v>
      </c>
      <c r="F8290">
        <v>43019.16</v>
      </c>
    </row>
    <row r="8291" spans="1:6" x14ac:dyDescent="0.25">
      <c r="A8291" t="s">
        <v>685</v>
      </c>
      <c r="B8291" t="s">
        <v>14</v>
      </c>
      <c r="C8291" s="5" t="str">
        <f t="shared" si="344"/>
        <v xml:space="preserve"> кв. 10</v>
      </c>
      <c r="D8291" s="5" t="str">
        <f>CONCATENATE(A8291,C8291)</f>
        <v>Ленинградское шоссе, дом 120 к.3 кв. 10</v>
      </c>
      <c r="E8291" s="3">
        <f>HYPERLINK("https://sao.dolgi.msk.ru/account/1404174095/", 1404174095)</f>
        <v>1404174095</v>
      </c>
      <c r="F8291">
        <v>24770.99</v>
      </c>
    </row>
    <row r="8292" spans="1:6" x14ac:dyDescent="0.25">
      <c r="A8292" t="s">
        <v>685</v>
      </c>
      <c r="B8292" t="s">
        <v>15</v>
      </c>
      <c r="C8292" s="5" t="str">
        <f t="shared" si="344"/>
        <v xml:space="preserve"> кв. 11</v>
      </c>
      <c r="D8292" s="5" t="str">
        <f>CONCATENATE(A8292,C8292)</f>
        <v>Ленинградское шоссе, дом 120 к.3 кв. 11</v>
      </c>
      <c r="E8292" s="3">
        <f>HYPERLINK("https://sao.dolgi.msk.ru/account/1404171724/", 1404171724)</f>
        <v>1404171724</v>
      </c>
      <c r="F8292">
        <v>14946.84</v>
      </c>
    </row>
    <row r="8293" spans="1:6" hidden="1" x14ac:dyDescent="0.25">
      <c r="A8293" t="s">
        <v>685</v>
      </c>
      <c r="B8293" t="s">
        <v>16</v>
      </c>
      <c r="E8293" s="3">
        <f>HYPERLINK("https://sao.dolgi.msk.ru/account/1404173906/", 1404173906)</f>
        <v>1404173906</v>
      </c>
      <c r="F8293">
        <v>0</v>
      </c>
    </row>
    <row r="8294" spans="1:6" x14ac:dyDescent="0.25">
      <c r="A8294" t="s">
        <v>685</v>
      </c>
      <c r="B8294" t="s">
        <v>17</v>
      </c>
      <c r="C8294" s="5" t="str">
        <f t="shared" ref="C8294:C8295" si="345">" кв. "&amp;B8294</f>
        <v xml:space="preserve"> кв. 13</v>
      </c>
      <c r="D8294" s="5" t="str">
        <f>CONCATENATE(A8294,C8294)</f>
        <v>Ленинградское шоссе, дом 120 к.3 кв. 13</v>
      </c>
      <c r="E8294" s="3">
        <f>HYPERLINK("https://sao.dolgi.msk.ru/account/1404174191/", 1404174191)</f>
        <v>1404174191</v>
      </c>
      <c r="F8294">
        <v>9029.42</v>
      </c>
    </row>
    <row r="8295" spans="1:6" x14ac:dyDescent="0.25">
      <c r="A8295" t="s">
        <v>685</v>
      </c>
      <c r="B8295" t="s">
        <v>18</v>
      </c>
      <c r="C8295" s="5" t="str">
        <f t="shared" si="345"/>
        <v xml:space="preserve"> кв. 14</v>
      </c>
      <c r="D8295" s="5" t="str">
        <f>CONCATENATE(A8295,C8295)</f>
        <v>Ленинградское шоссе, дом 120 к.3 кв. 14</v>
      </c>
      <c r="E8295" s="3">
        <f>HYPERLINK("https://sao.dolgi.msk.ru/account/1404173914/", 1404173914)</f>
        <v>1404173914</v>
      </c>
      <c r="F8295">
        <v>12552.04</v>
      </c>
    </row>
    <row r="8296" spans="1:6" hidden="1" x14ac:dyDescent="0.25">
      <c r="A8296" t="s">
        <v>685</v>
      </c>
      <c r="B8296" t="s">
        <v>19</v>
      </c>
      <c r="E8296" s="3">
        <f>HYPERLINK("https://sao.dolgi.msk.ru/account/1404174036/", 1404174036)</f>
        <v>1404174036</v>
      </c>
      <c r="F8296">
        <v>-307.10000000000002</v>
      </c>
    </row>
    <row r="8297" spans="1:6" x14ac:dyDescent="0.25">
      <c r="A8297" t="s">
        <v>685</v>
      </c>
      <c r="B8297" t="s">
        <v>20</v>
      </c>
      <c r="C8297" s="5" t="str">
        <f t="shared" ref="C8297:C8300" si="346">" кв. "&amp;B8297</f>
        <v xml:space="preserve"> кв. 16</v>
      </c>
      <c r="D8297" s="5" t="str">
        <f>CONCATENATE(A8297,C8297)</f>
        <v>Ленинградское шоссе, дом 120 к.3 кв. 16</v>
      </c>
      <c r="E8297" s="3">
        <f>HYPERLINK("https://sao.dolgi.msk.ru/account/1404173949/", 1404173949)</f>
        <v>1404173949</v>
      </c>
      <c r="F8297">
        <v>19501.46</v>
      </c>
    </row>
    <row r="8298" spans="1:6" x14ac:dyDescent="0.25">
      <c r="A8298" t="s">
        <v>685</v>
      </c>
      <c r="B8298" t="s">
        <v>21</v>
      </c>
      <c r="C8298" s="5" t="str">
        <f t="shared" si="346"/>
        <v xml:space="preserve"> кв. 17</v>
      </c>
      <c r="D8298" s="5" t="str">
        <f>CONCATENATE(A8298,C8298)</f>
        <v>Ленинградское шоссе, дом 120 к.3 кв. 17</v>
      </c>
      <c r="E8298" s="3">
        <f>HYPERLINK("https://sao.dolgi.msk.ru/account/1404174108/", 1404174108)</f>
        <v>1404174108</v>
      </c>
      <c r="F8298">
        <v>11518.38</v>
      </c>
    </row>
    <row r="8299" spans="1:6" x14ac:dyDescent="0.25">
      <c r="A8299" t="s">
        <v>685</v>
      </c>
      <c r="B8299" t="s">
        <v>22</v>
      </c>
      <c r="C8299" s="5" t="str">
        <f t="shared" si="346"/>
        <v xml:space="preserve"> кв. 18</v>
      </c>
      <c r="D8299" s="5" t="str">
        <f>CONCATENATE(A8299,C8299)</f>
        <v>Ленинградское шоссе, дом 120 к.3 кв. 18</v>
      </c>
      <c r="E8299" s="3">
        <f>HYPERLINK("https://sao.dolgi.msk.ru/account/1404174167/", 1404174167)</f>
        <v>1404174167</v>
      </c>
      <c r="F8299">
        <v>24582.57</v>
      </c>
    </row>
    <row r="8300" spans="1:6" x14ac:dyDescent="0.25">
      <c r="A8300" t="s">
        <v>685</v>
      </c>
      <c r="B8300" t="s">
        <v>23</v>
      </c>
      <c r="C8300" s="5" t="str">
        <f t="shared" si="346"/>
        <v xml:space="preserve"> кв. 19</v>
      </c>
      <c r="D8300" s="5" t="str">
        <f>CONCATENATE(A8300,C8300)</f>
        <v>Ленинградское шоссе, дом 120 к.3 кв. 19</v>
      </c>
      <c r="E8300" s="3">
        <f>HYPERLINK("https://sao.dolgi.msk.ru/account/1404173973/", 1404173973)</f>
        <v>1404173973</v>
      </c>
      <c r="F8300">
        <v>28990.39</v>
      </c>
    </row>
    <row r="8301" spans="1:6" hidden="1" x14ac:dyDescent="0.25">
      <c r="A8301" t="s">
        <v>685</v>
      </c>
      <c r="B8301" t="s">
        <v>23</v>
      </c>
      <c r="E8301" s="3">
        <f>HYPERLINK("https://sao.dolgi.msk.ru/account/1404293844/", 1404293844)</f>
        <v>1404293844</v>
      </c>
      <c r="F8301">
        <v>0</v>
      </c>
    </row>
    <row r="8302" spans="1:6" hidden="1" x14ac:dyDescent="0.25">
      <c r="A8302" t="s">
        <v>685</v>
      </c>
      <c r="B8302" t="s">
        <v>24</v>
      </c>
      <c r="E8302" s="3">
        <f>HYPERLINK("https://sao.dolgi.msk.ru/account/1404174044/", 1404174044)</f>
        <v>1404174044</v>
      </c>
      <c r="F8302">
        <v>-10375.31</v>
      </c>
    </row>
    <row r="8303" spans="1:6" x14ac:dyDescent="0.25">
      <c r="A8303" t="s">
        <v>685</v>
      </c>
      <c r="B8303" t="s">
        <v>25</v>
      </c>
      <c r="C8303" s="5" t="str">
        <f>" кв. "&amp;B8303</f>
        <v xml:space="preserve"> кв. 21</v>
      </c>
      <c r="D8303" s="5" t="str">
        <f>CONCATENATE(A8303,C8303)</f>
        <v>Ленинградское шоссе, дом 120 к.3 кв. 21</v>
      </c>
      <c r="E8303" s="3">
        <f>HYPERLINK("https://sao.dolgi.msk.ru/account/1404174175/", 1404174175)</f>
        <v>1404174175</v>
      </c>
      <c r="F8303">
        <v>9586.07</v>
      </c>
    </row>
    <row r="8304" spans="1:6" hidden="1" x14ac:dyDescent="0.25">
      <c r="A8304" t="s">
        <v>685</v>
      </c>
      <c r="B8304" t="s">
        <v>26</v>
      </c>
      <c r="E8304" s="3">
        <f>HYPERLINK("https://sao.dolgi.msk.ru/account/1404174204/", 1404174204)</f>
        <v>1404174204</v>
      </c>
      <c r="F8304">
        <v>-12375.48</v>
      </c>
    </row>
    <row r="8305" spans="1:6" x14ac:dyDescent="0.25">
      <c r="A8305" t="s">
        <v>685</v>
      </c>
      <c r="B8305" t="s">
        <v>27</v>
      </c>
      <c r="C8305" s="5" t="str">
        <f t="shared" ref="C8305:C8306" si="347">" кв. "&amp;B8305</f>
        <v xml:space="preserve"> кв. 23</v>
      </c>
      <c r="D8305" s="5" t="str">
        <f>CONCATENATE(A8305,C8305)</f>
        <v>Ленинградское шоссе, дом 120 к.3 кв. 23</v>
      </c>
      <c r="E8305" s="3">
        <f>HYPERLINK("https://sao.dolgi.msk.ru/account/1404174116/", 1404174116)</f>
        <v>1404174116</v>
      </c>
      <c r="F8305">
        <v>18280.46</v>
      </c>
    </row>
    <row r="8306" spans="1:6" x14ac:dyDescent="0.25">
      <c r="A8306" t="s">
        <v>685</v>
      </c>
      <c r="B8306" t="s">
        <v>28</v>
      </c>
      <c r="C8306" s="5" t="str">
        <f t="shared" si="347"/>
        <v xml:space="preserve"> кв. 24</v>
      </c>
      <c r="D8306" s="5" t="str">
        <f>CONCATENATE(A8306,C8306)</f>
        <v>Ленинградское шоссе, дом 120 к.3 кв. 24</v>
      </c>
      <c r="E8306" s="3">
        <f>HYPERLINK("https://sao.dolgi.msk.ru/account/1404173869/", 1404173869)</f>
        <v>1404173869</v>
      </c>
      <c r="F8306">
        <v>4384.3500000000004</v>
      </c>
    </row>
    <row r="8307" spans="1:6" hidden="1" x14ac:dyDescent="0.25">
      <c r="A8307" t="s">
        <v>685</v>
      </c>
      <c r="B8307" t="s">
        <v>29</v>
      </c>
      <c r="E8307" s="3">
        <f>HYPERLINK("https://sao.dolgi.msk.ru/account/1404174212/", 1404174212)</f>
        <v>1404174212</v>
      </c>
      <c r="F8307">
        <v>-11062.56</v>
      </c>
    </row>
    <row r="8308" spans="1:6" x14ac:dyDescent="0.25">
      <c r="A8308" t="s">
        <v>685</v>
      </c>
      <c r="B8308" t="s">
        <v>30</v>
      </c>
      <c r="C8308" s="5" t="str">
        <f t="shared" ref="C8308:C8309" si="348">" кв. "&amp;B8308</f>
        <v xml:space="preserve"> кв. 26</v>
      </c>
      <c r="D8308" s="5" t="str">
        <f>CONCATENATE(A8308,C8308)</f>
        <v>Ленинградское шоссе, дом 120 к.3 кв. 26</v>
      </c>
      <c r="E8308" s="3">
        <f>HYPERLINK("https://sao.dolgi.msk.ru/account/1404174239/", 1404174239)</f>
        <v>1404174239</v>
      </c>
      <c r="F8308">
        <v>24633.93</v>
      </c>
    </row>
    <row r="8309" spans="1:6" x14ac:dyDescent="0.25">
      <c r="A8309" t="s">
        <v>685</v>
      </c>
      <c r="B8309" t="s">
        <v>31</v>
      </c>
      <c r="C8309" s="5" t="str">
        <f t="shared" si="348"/>
        <v xml:space="preserve"> кв. 27</v>
      </c>
      <c r="D8309" s="5" t="str">
        <f>CONCATENATE(A8309,C8309)</f>
        <v>Ленинградское шоссе, дом 120 к.3 кв. 27</v>
      </c>
      <c r="E8309" s="3">
        <f>HYPERLINK("https://sao.dolgi.msk.ru/account/1404174028/", 1404174028)</f>
        <v>1404174028</v>
      </c>
      <c r="F8309">
        <v>35942.89</v>
      </c>
    </row>
    <row r="8310" spans="1:6" hidden="1" x14ac:dyDescent="0.25">
      <c r="A8310" t="s">
        <v>685</v>
      </c>
      <c r="B8310" t="s">
        <v>32</v>
      </c>
      <c r="E8310" s="3">
        <f>HYPERLINK("https://sao.dolgi.msk.ru/account/1404173631/", 1404173631)</f>
        <v>1404173631</v>
      </c>
      <c r="F8310">
        <v>-9236.08</v>
      </c>
    </row>
    <row r="8311" spans="1:6" hidden="1" x14ac:dyDescent="0.25">
      <c r="A8311" t="s">
        <v>685</v>
      </c>
      <c r="B8311" t="s">
        <v>33</v>
      </c>
      <c r="E8311" s="3">
        <f>HYPERLINK("https://sao.dolgi.msk.ru/account/1404173658/", 1404173658)</f>
        <v>1404173658</v>
      </c>
      <c r="F8311">
        <v>0</v>
      </c>
    </row>
    <row r="8312" spans="1:6" hidden="1" x14ac:dyDescent="0.25">
      <c r="A8312" t="s">
        <v>685</v>
      </c>
      <c r="B8312" t="s">
        <v>34</v>
      </c>
      <c r="E8312" s="3">
        <f>HYPERLINK("https://sao.dolgi.msk.ru/account/1404173586/", 1404173586)</f>
        <v>1404173586</v>
      </c>
      <c r="F8312">
        <v>0</v>
      </c>
    </row>
    <row r="8313" spans="1:6" hidden="1" x14ac:dyDescent="0.25">
      <c r="A8313" t="s">
        <v>685</v>
      </c>
      <c r="B8313" t="s">
        <v>35</v>
      </c>
      <c r="E8313" s="3">
        <f>HYPERLINK("https://sao.dolgi.msk.ru/account/1404173666/", 1404173666)</f>
        <v>1404173666</v>
      </c>
      <c r="F8313">
        <v>-1390.61</v>
      </c>
    </row>
    <row r="8314" spans="1:6" hidden="1" x14ac:dyDescent="0.25">
      <c r="A8314" t="s">
        <v>685</v>
      </c>
      <c r="B8314" t="s">
        <v>36</v>
      </c>
      <c r="E8314" s="3">
        <f>HYPERLINK("https://sao.dolgi.msk.ru/account/1404173551/", 1404173551)</f>
        <v>1404173551</v>
      </c>
      <c r="F8314">
        <v>-2696.51</v>
      </c>
    </row>
    <row r="8315" spans="1:6" hidden="1" x14ac:dyDescent="0.25">
      <c r="A8315" t="s">
        <v>685</v>
      </c>
      <c r="B8315" t="s">
        <v>37</v>
      </c>
      <c r="E8315" s="3">
        <f>HYPERLINK("https://sao.dolgi.msk.ru/account/1404173594/", 1404173594)</f>
        <v>1404173594</v>
      </c>
      <c r="F8315">
        <v>-890.97</v>
      </c>
    </row>
    <row r="8316" spans="1:6" hidden="1" x14ac:dyDescent="0.25">
      <c r="A8316" t="s">
        <v>685</v>
      </c>
      <c r="B8316" t="s">
        <v>38</v>
      </c>
      <c r="E8316" s="3">
        <f>HYPERLINK("https://sao.dolgi.msk.ru/account/1404173674/", 1404173674)</f>
        <v>1404173674</v>
      </c>
      <c r="F8316">
        <v>-16009.64</v>
      </c>
    </row>
    <row r="8317" spans="1:6" x14ac:dyDescent="0.25">
      <c r="A8317" t="s">
        <v>685</v>
      </c>
      <c r="B8317" t="s">
        <v>39</v>
      </c>
      <c r="C8317" s="5" t="str">
        <f t="shared" ref="C8317:C8319" si="349">" кв. "&amp;B8317</f>
        <v xml:space="preserve"> кв. 35</v>
      </c>
      <c r="D8317" s="5" t="str">
        <f>CONCATENATE(A8317,C8317)</f>
        <v>Ленинградское шоссе, дом 120 к.3 кв. 35</v>
      </c>
      <c r="E8317" s="3">
        <f>HYPERLINK("https://sao.dolgi.msk.ru/account/1404173711/", 1404173711)</f>
        <v>1404173711</v>
      </c>
      <c r="F8317">
        <v>2802.52</v>
      </c>
    </row>
    <row r="8318" spans="1:6" x14ac:dyDescent="0.25">
      <c r="A8318" t="s">
        <v>685</v>
      </c>
      <c r="B8318" t="s">
        <v>40</v>
      </c>
      <c r="C8318" s="5" t="str">
        <f t="shared" si="349"/>
        <v xml:space="preserve"> кв. 36</v>
      </c>
      <c r="D8318" s="5" t="str">
        <f>CONCATENATE(A8318,C8318)</f>
        <v>Ленинградское шоссе, дом 120 к.3 кв. 36</v>
      </c>
      <c r="E8318" s="3">
        <f>HYPERLINK("https://sao.dolgi.msk.ru/account/1404174415/", 1404174415)</f>
        <v>1404174415</v>
      </c>
      <c r="F8318">
        <v>28907.75</v>
      </c>
    </row>
    <row r="8319" spans="1:6" x14ac:dyDescent="0.25">
      <c r="A8319" t="s">
        <v>685</v>
      </c>
      <c r="B8319" t="s">
        <v>41</v>
      </c>
      <c r="C8319" s="5" t="str">
        <f t="shared" si="349"/>
        <v xml:space="preserve"> кв. 37</v>
      </c>
      <c r="D8319" s="5" t="str">
        <f>CONCATENATE(A8319,C8319)</f>
        <v>Ленинградское шоссе, дом 120 к.3 кв. 37</v>
      </c>
      <c r="E8319" s="3">
        <f>HYPERLINK("https://sao.dolgi.msk.ru/account/1404173957/", 1404173957)</f>
        <v>1404173957</v>
      </c>
      <c r="F8319">
        <v>6094.81</v>
      </c>
    </row>
    <row r="8320" spans="1:6" hidden="1" x14ac:dyDescent="0.25">
      <c r="A8320" t="s">
        <v>685</v>
      </c>
      <c r="B8320" t="s">
        <v>42</v>
      </c>
      <c r="E8320" s="3">
        <f>HYPERLINK("https://sao.dolgi.msk.ru/account/1404173842/", 1404173842)</f>
        <v>1404173842</v>
      </c>
      <c r="F8320">
        <v>-10244.4</v>
      </c>
    </row>
    <row r="8321" spans="1:6" hidden="1" x14ac:dyDescent="0.25">
      <c r="A8321" t="s">
        <v>685</v>
      </c>
      <c r="B8321" t="s">
        <v>43</v>
      </c>
      <c r="E8321" s="3">
        <f>HYPERLINK("https://sao.dolgi.msk.ru/account/1404173885/", 1404173885)</f>
        <v>1404173885</v>
      </c>
      <c r="F8321">
        <v>0</v>
      </c>
    </row>
    <row r="8322" spans="1:6" hidden="1" x14ac:dyDescent="0.25">
      <c r="A8322" t="s">
        <v>685</v>
      </c>
      <c r="B8322" t="s">
        <v>44</v>
      </c>
      <c r="E8322" s="3">
        <f>HYPERLINK("https://sao.dolgi.msk.ru/account/1404173981/", 1404173981)</f>
        <v>1404173981</v>
      </c>
      <c r="F8322">
        <v>-4735.71</v>
      </c>
    </row>
    <row r="8323" spans="1:6" hidden="1" x14ac:dyDescent="0.25">
      <c r="A8323" t="s">
        <v>685</v>
      </c>
      <c r="B8323" t="s">
        <v>45</v>
      </c>
      <c r="E8323" s="3">
        <f>HYPERLINK("https://sao.dolgi.msk.ru/account/1404173607/", 1404173607)</f>
        <v>1404173607</v>
      </c>
      <c r="F8323">
        <v>-21357.62</v>
      </c>
    </row>
    <row r="8324" spans="1:6" x14ac:dyDescent="0.25">
      <c r="A8324" t="s">
        <v>685</v>
      </c>
      <c r="B8324" t="s">
        <v>46</v>
      </c>
      <c r="C8324" s="5" t="str">
        <f t="shared" ref="C8324:C8330" si="350">" кв. "&amp;B8324</f>
        <v xml:space="preserve"> кв. 42</v>
      </c>
      <c r="D8324" s="5" t="str">
        <f>CONCATENATE(A8324,C8324)</f>
        <v>Ленинградское шоссе, дом 120 к.3 кв. 42</v>
      </c>
      <c r="E8324" s="3">
        <f>HYPERLINK("https://sao.dolgi.msk.ru/account/1404173826/", 1404173826)</f>
        <v>1404173826</v>
      </c>
      <c r="F8324">
        <v>24719.59</v>
      </c>
    </row>
    <row r="8325" spans="1:6" x14ac:dyDescent="0.25">
      <c r="A8325" t="s">
        <v>685</v>
      </c>
      <c r="B8325" t="s">
        <v>47</v>
      </c>
      <c r="C8325" s="5" t="str">
        <f t="shared" si="350"/>
        <v xml:space="preserve"> кв. 43</v>
      </c>
      <c r="D8325" s="5" t="str">
        <f>CONCATENATE(A8325,C8325)</f>
        <v>Ленинградское шоссе, дом 120 к.3 кв. 43</v>
      </c>
      <c r="E8325" s="3">
        <f>HYPERLINK("https://sao.dolgi.msk.ru/account/1404174001/", 1404174001)</f>
        <v>1404174001</v>
      </c>
      <c r="F8325">
        <v>22495.48</v>
      </c>
    </row>
    <row r="8326" spans="1:6" x14ac:dyDescent="0.25">
      <c r="A8326" t="s">
        <v>685</v>
      </c>
      <c r="B8326" t="s">
        <v>48</v>
      </c>
      <c r="C8326" s="5" t="str">
        <f t="shared" si="350"/>
        <v xml:space="preserve"> кв. 44</v>
      </c>
      <c r="D8326" s="5" t="str">
        <f>CONCATENATE(A8326,C8326)</f>
        <v>Ленинградское шоссе, дом 120 к.3 кв. 44</v>
      </c>
      <c r="E8326" s="3">
        <f>HYPERLINK("https://sao.dolgi.msk.ru/account/1404174079/", 1404174079)</f>
        <v>1404174079</v>
      </c>
      <c r="F8326">
        <v>25520.22</v>
      </c>
    </row>
    <row r="8327" spans="1:6" x14ac:dyDescent="0.25">
      <c r="A8327" t="s">
        <v>685</v>
      </c>
      <c r="B8327" t="s">
        <v>49</v>
      </c>
      <c r="C8327" s="5" t="str">
        <f t="shared" si="350"/>
        <v xml:space="preserve"> кв. 45</v>
      </c>
      <c r="D8327" s="5" t="str">
        <f>CONCATENATE(A8327,C8327)</f>
        <v>Ленинградское шоссе, дом 120 к.3 кв. 45</v>
      </c>
      <c r="E8327" s="3">
        <f>HYPERLINK("https://sao.dolgi.msk.ru/account/1404174271/", 1404174271)</f>
        <v>1404174271</v>
      </c>
      <c r="F8327">
        <v>23931.63</v>
      </c>
    </row>
    <row r="8328" spans="1:6" x14ac:dyDescent="0.25">
      <c r="A8328" t="s">
        <v>685</v>
      </c>
      <c r="B8328" t="s">
        <v>50</v>
      </c>
      <c r="C8328" s="5" t="str">
        <f t="shared" si="350"/>
        <v xml:space="preserve"> кв. 46</v>
      </c>
      <c r="D8328" s="5" t="str">
        <f>CONCATENATE(A8328,C8328)</f>
        <v>Ленинградское шоссе, дом 120 к.3 кв. 46</v>
      </c>
      <c r="E8328" s="3">
        <f>HYPERLINK("https://sao.dolgi.msk.ru/account/1404174298/", 1404174298)</f>
        <v>1404174298</v>
      </c>
      <c r="F8328">
        <v>24685.33</v>
      </c>
    </row>
    <row r="8329" spans="1:6" x14ac:dyDescent="0.25">
      <c r="A8329" t="s">
        <v>685</v>
      </c>
      <c r="B8329" t="s">
        <v>51</v>
      </c>
      <c r="C8329" s="5" t="str">
        <f t="shared" si="350"/>
        <v xml:space="preserve"> кв. 47</v>
      </c>
      <c r="D8329" s="5" t="str">
        <f>CONCATENATE(A8329,C8329)</f>
        <v>Ленинградское шоссе, дом 120 к.3 кв. 47</v>
      </c>
      <c r="E8329" s="3">
        <f>HYPERLINK("https://sao.dolgi.msk.ru/account/1404174263/", 1404174263)</f>
        <v>1404174263</v>
      </c>
      <c r="F8329">
        <v>94310.53</v>
      </c>
    </row>
    <row r="8330" spans="1:6" x14ac:dyDescent="0.25">
      <c r="A8330" t="s">
        <v>685</v>
      </c>
      <c r="B8330" t="s">
        <v>52</v>
      </c>
      <c r="C8330" s="5" t="str">
        <f t="shared" si="350"/>
        <v xml:space="preserve"> кв. 48</v>
      </c>
      <c r="D8330" s="5" t="str">
        <f>CONCATENATE(A8330,C8330)</f>
        <v>Ленинградское шоссе, дом 120 к.3 кв. 48</v>
      </c>
      <c r="E8330" s="3">
        <f>HYPERLINK("https://sao.dolgi.msk.ru/account/1404174327/", 1404174327)</f>
        <v>1404174327</v>
      </c>
      <c r="F8330">
        <v>32043.62</v>
      </c>
    </row>
    <row r="8331" spans="1:6" hidden="1" x14ac:dyDescent="0.25">
      <c r="A8331" t="s">
        <v>685</v>
      </c>
      <c r="B8331" t="s">
        <v>53</v>
      </c>
      <c r="E8331" s="3">
        <f>HYPERLINK("https://sao.dolgi.msk.ru/account/1404173893/", 1404173893)</f>
        <v>1404173893</v>
      </c>
      <c r="F8331">
        <v>-5255.82</v>
      </c>
    </row>
    <row r="8332" spans="1:6" x14ac:dyDescent="0.25">
      <c r="A8332" t="s">
        <v>685</v>
      </c>
      <c r="B8332" t="s">
        <v>54</v>
      </c>
      <c r="C8332" s="5" t="str">
        <f>" кв. "&amp;B8332</f>
        <v xml:space="preserve"> кв. 50</v>
      </c>
      <c r="D8332" s="5" t="str">
        <f>CONCATENATE(A8332,C8332)</f>
        <v>Ленинградское шоссе, дом 120 к.3 кв. 50</v>
      </c>
      <c r="E8332" s="3">
        <f>HYPERLINK("https://sao.dolgi.msk.ru/account/1404173615/", 1404173615)</f>
        <v>1404173615</v>
      </c>
      <c r="F8332">
        <v>27551.74</v>
      </c>
    </row>
    <row r="8333" spans="1:6" hidden="1" x14ac:dyDescent="0.25">
      <c r="A8333" t="s">
        <v>685</v>
      </c>
      <c r="B8333" t="s">
        <v>55</v>
      </c>
      <c r="E8333" s="3">
        <f>HYPERLINK("https://sao.dolgi.msk.ru/account/1404173965/", 1404173965)</f>
        <v>1404173965</v>
      </c>
      <c r="F8333">
        <v>-8338.44</v>
      </c>
    </row>
    <row r="8334" spans="1:6" x14ac:dyDescent="0.25">
      <c r="A8334" t="s">
        <v>685</v>
      </c>
      <c r="B8334" t="s">
        <v>56</v>
      </c>
      <c r="C8334" s="5" t="str">
        <f>" кв. "&amp;B8334</f>
        <v xml:space="preserve"> кв. 52</v>
      </c>
      <c r="D8334" s="5" t="str">
        <f>CONCATENATE(A8334,C8334)</f>
        <v>Ленинградское шоссе, дом 120 к.3 кв. 52</v>
      </c>
      <c r="E8334" s="3">
        <f>HYPERLINK("https://sao.dolgi.msk.ru/account/1404173922/", 1404173922)</f>
        <v>1404173922</v>
      </c>
      <c r="F8334">
        <v>9618.9599999999991</v>
      </c>
    </row>
    <row r="8335" spans="1:6" hidden="1" x14ac:dyDescent="0.25">
      <c r="A8335" t="s">
        <v>685</v>
      </c>
      <c r="B8335" t="s">
        <v>57</v>
      </c>
      <c r="E8335" s="3">
        <f>HYPERLINK("https://sao.dolgi.msk.ru/account/1404173623/", 1404173623)</f>
        <v>1404173623</v>
      </c>
      <c r="F8335">
        <v>0</v>
      </c>
    </row>
    <row r="8336" spans="1:6" hidden="1" x14ac:dyDescent="0.25">
      <c r="A8336" t="s">
        <v>685</v>
      </c>
      <c r="B8336" t="s">
        <v>58</v>
      </c>
      <c r="E8336" s="3">
        <f>HYPERLINK("https://sao.dolgi.msk.ru/account/1404173148/", 1404173148)</f>
        <v>1404173148</v>
      </c>
      <c r="F8336">
        <v>-1230.07</v>
      </c>
    </row>
    <row r="8337" spans="1:6" x14ac:dyDescent="0.25">
      <c r="A8337" t="s">
        <v>685</v>
      </c>
      <c r="B8337" t="s">
        <v>59</v>
      </c>
      <c r="C8337" s="5" t="str">
        <f t="shared" ref="C8337:C8338" si="351">" кв. "&amp;B8337</f>
        <v xml:space="preserve"> кв. 55</v>
      </c>
      <c r="D8337" s="5" t="str">
        <f>CONCATENATE(A8337,C8337)</f>
        <v>Ленинградское шоссе, дом 120 к.3 кв. 55</v>
      </c>
      <c r="E8337" s="3">
        <f>HYPERLINK("https://sao.dolgi.msk.ru/account/1404173797/", 1404173797)</f>
        <v>1404173797</v>
      </c>
      <c r="F8337">
        <v>7894.93</v>
      </c>
    </row>
    <row r="8338" spans="1:6" x14ac:dyDescent="0.25">
      <c r="A8338" t="s">
        <v>685</v>
      </c>
      <c r="B8338" t="s">
        <v>60</v>
      </c>
      <c r="C8338" s="5" t="str">
        <f t="shared" si="351"/>
        <v xml:space="preserve"> кв. 56</v>
      </c>
      <c r="D8338" s="5" t="str">
        <f>CONCATENATE(A8338,C8338)</f>
        <v>Ленинградское шоссе, дом 120 к.3 кв. 56</v>
      </c>
      <c r="E8338" s="3">
        <f>HYPERLINK("https://sao.dolgi.msk.ru/account/1404173543/", 1404173543)</f>
        <v>1404173543</v>
      </c>
      <c r="F8338">
        <v>7316.6</v>
      </c>
    </row>
    <row r="8339" spans="1:6" hidden="1" x14ac:dyDescent="0.25">
      <c r="A8339" t="s">
        <v>685</v>
      </c>
      <c r="B8339" t="s">
        <v>61</v>
      </c>
      <c r="E8339" s="3">
        <f>HYPERLINK("https://sao.dolgi.msk.ru/account/1404173439/", 1404173439)</f>
        <v>1404173439</v>
      </c>
      <c r="F8339">
        <v>-84.25</v>
      </c>
    </row>
    <row r="8340" spans="1:6" x14ac:dyDescent="0.25">
      <c r="A8340" t="s">
        <v>685</v>
      </c>
      <c r="B8340" t="s">
        <v>62</v>
      </c>
      <c r="C8340" s="5" t="str">
        <f t="shared" ref="C8340:C8345" si="352">" кв. "&amp;B8340</f>
        <v xml:space="preserve"> кв. 58</v>
      </c>
      <c r="D8340" s="5" t="str">
        <f>CONCATENATE(A8340,C8340)</f>
        <v>Ленинградское шоссе, дом 120 к.3 кв. 58</v>
      </c>
      <c r="E8340" s="3">
        <f>HYPERLINK("https://sao.dolgi.msk.ru/account/1404173535/", 1404173535)</f>
        <v>1404173535</v>
      </c>
      <c r="F8340">
        <v>25208.43</v>
      </c>
    </row>
    <row r="8341" spans="1:6" x14ac:dyDescent="0.25">
      <c r="A8341" t="s">
        <v>685</v>
      </c>
      <c r="B8341" t="s">
        <v>63</v>
      </c>
      <c r="C8341" s="5" t="str">
        <f t="shared" si="352"/>
        <v xml:space="preserve"> кв. 59</v>
      </c>
      <c r="D8341" s="5" t="str">
        <f>CONCATENATE(A8341,C8341)</f>
        <v>Ленинградское шоссе, дом 120 к.3 кв. 59</v>
      </c>
      <c r="E8341" s="3">
        <f>HYPERLINK("https://sao.dolgi.msk.ru/account/1404173527/", 1404173527)</f>
        <v>1404173527</v>
      </c>
      <c r="F8341">
        <v>15805.06</v>
      </c>
    </row>
    <row r="8342" spans="1:6" x14ac:dyDescent="0.25">
      <c r="A8342" t="s">
        <v>685</v>
      </c>
      <c r="B8342" t="s">
        <v>64</v>
      </c>
      <c r="C8342" s="5" t="str">
        <f t="shared" si="352"/>
        <v xml:space="preserve"> кв. 60</v>
      </c>
      <c r="D8342" s="5" t="str">
        <f>CONCATENATE(A8342,C8342)</f>
        <v>Ленинградское шоссе, дом 120 к.3 кв. 60</v>
      </c>
      <c r="E8342" s="3">
        <f>HYPERLINK("https://sao.dolgi.msk.ru/account/1404173412/", 1404173412)</f>
        <v>1404173412</v>
      </c>
      <c r="F8342">
        <v>27068.09</v>
      </c>
    </row>
    <row r="8343" spans="1:6" x14ac:dyDescent="0.25">
      <c r="A8343" t="s">
        <v>685</v>
      </c>
      <c r="B8343" t="s">
        <v>65</v>
      </c>
      <c r="C8343" s="5" t="str">
        <f t="shared" si="352"/>
        <v xml:space="preserve"> кв. 61</v>
      </c>
      <c r="D8343" s="5" t="str">
        <f>CONCATENATE(A8343,C8343)</f>
        <v>Ленинградское шоссе, дом 120 к.3 кв. 61</v>
      </c>
      <c r="E8343" s="3">
        <f>HYPERLINK("https://sao.dolgi.msk.ru/account/1404173404/", 1404173404)</f>
        <v>1404173404</v>
      </c>
      <c r="F8343">
        <v>55578.57</v>
      </c>
    </row>
    <row r="8344" spans="1:6" x14ac:dyDescent="0.25">
      <c r="A8344" t="s">
        <v>685</v>
      </c>
      <c r="B8344" t="s">
        <v>66</v>
      </c>
      <c r="C8344" s="5" t="str">
        <f t="shared" si="352"/>
        <v xml:space="preserve"> кв. 62</v>
      </c>
      <c r="D8344" s="5" t="str">
        <f>CONCATENATE(A8344,C8344)</f>
        <v>Ленинградское шоссе, дом 120 к.3 кв. 62</v>
      </c>
      <c r="E8344" s="3">
        <f>HYPERLINK("https://sao.dolgi.msk.ru/account/1404174335/", 1404174335)</f>
        <v>1404174335</v>
      </c>
      <c r="F8344">
        <v>37296.129999999997</v>
      </c>
    </row>
    <row r="8345" spans="1:6" x14ac:dyDescent="0.25">
      <c r="A8345" t="s">
        <v>685</v>
      </c>
      <c r="B8345" t="s">
        <v>67</v>
      </c>
      <c r="C8345" s="5" t="str">
        <f t="shared" si="352"/>
        <v xml:space="preserve"> кв. 63</v>
      </c>
      <c r="D8345" s="5" t="str">
        <f>CONCATENATE(A8345,C8345)</f>
        <v>Ленинградское шоссе, дом 120 к.3 кв. 63</v>
      </c>
      <c r="E8345" s="3">
        <f>HYPERLINK("https://sao.dolgi.msk.ru/account/1404173375/", 1404173375)</f>
        <v>1404173375</v>
      </c>
      <c r="F8345">
        <v>27797.72</v>
      </c>
    </row>
    <row r="8346" spans="1:6" hidden="1" x14ac:dyDescent="0.25">
      <c r="A8346" t="s">
        <v>685</v>
      </c>
      <c r="B8346" t="s">
        <v>68</v>
      </c>
      <c r="E8346" s="3">
        <f>HYPERLINK("https://sao.dolgi.msk.ru/account/1404173383/", 1404173383)</f>
        <v>1404173383</v>
      </c>
      <c r="F8346">
        <v>0</v>
      </c>
    </row>
    <row r="8347" spans="1:6" hidden="1" x14ac:dyDescent="0.25">
      <c r="A8347" t="s">
        <v>685</v>
      </c>
      <c r="B8347" t="s">
        <v>69</v>
      </c>
      <c r="E8347" s="3">
        <f>HYPERLINK("https://sao.dolgi.msk.ru/account/1404174351/", 1404174351)</f>
        <v>1404174351</v>
      </c>
      <c r="F8347">
        <v>0</v>
      </c>
    </row>
    <row r="8348" spans="1:6" hidden="1" x14ac:dyDescent="0.25">
      <c r="A8348" t="s">
        <v>685</v>
      </c>
      <c r="B8348" t="s">
        <v>70</v>
      </c>
      <c r="E8348" s="3">
        <f>HYPERLINK("https://sao.dolgi.msk.ru/account/1404174378/", 1404174378)</f>
        <v>1404174378</v>
      </c>
      <c r="F8348">
        <v>0</v>
      </c>
    </row>
    <row r="8349" spans="1:6" x14ac:dyDescent="0.25">
      <c r="A8349" t="s">
        <v>685</v>
      </c>
      <c r="B8349" t="s">
        <v>71</v>
      </c>
      <c r="C8349" s="5" t="str">
        <f t="shared" ref="C8349:C8351" si="353">" кв. "&amp;B8349</f>
        <v xml:space="preserve"> кв. 67</v>
      </c>
      <c r="D8349" s="5" t="str">
        <f>CONCATENATE(A8349,C8349)</f>
        <v>Ленинградское шоссе, дом 120 к.3 кв. 67</v>
      </c>
      <c r="E8349" s="3">
        <f>HYPERLINK("https://sao.dolgi.msk.ru/account/1404173391/", 1404173391)</f>
        <v>1404173391</v>
      </c>
      <c r="F8349">
        <v>2602.02</v>
      </c>
    </row>
    <row r="8350" spans="1:6" x14ac:dyDescent="0.25">
      <c r="A8350" t="s">
        <v>685</v>
      </c>
      <c r="B8350" t="s">
        <v>72</v>
      </c>
      <c r="C8350" s="5" t="str">
        <f t="shared" si="353"/>
        <v xml:space="preserve"> кв. 68</v>
      </c>
      <c r="D8350" s="5" t="str">
        <f>CONCATENATE(A8350,C8350)</f>
        <v>Ленинградское шоссе, дом 120 к.3 кв. 68</v>
      </c>
      <c r="E8350" s="3">
        <f>HYPERLINK("https://sao.dolgi.msk.ru/account/1404173471/", 1404173471)</f>
        <v>1404173471</v>
      </c>
      <c r="F8350">
        <v>23481.69</v>
      </c>
    </row>
    <row r="8351" spans="1:6" x14ac:dyDescent="0.25">
      <c r="A8351" t="s">
        <v>685</v>
      </c>
      <c r="B8351" t="s">
        <v>73</v>
      </c>
      <c r="C8351" s="5" t="str">
        <f t="shared" si="353"/>
        <v xml:space="preserve"> кв. 69</v>
      </c>
      <c r="D8351" s="5" t="str">
        <f>CONCATENATE(A8351,C8351)</f>
        <v>Ленинградское шоссе, дом 120 к.3 кв. 69</v>
      </c>
      <c r="E8351" s="3">
        <f>HYPERLINK("https://sao.dolgi.msk.ru/account/1404173463/", 1404173463)</f>
        <v>1404173463</v>
      </c>
      <c r="F8351">
        <v>50283.83</v>
      </c>
    </row>
    <row r="8352" spans="1:6" hidden="1" x14ac:dyDescent="0.25">
      <c r="A8352" t="s">
        <v>685</v>
      </c>
      <c r="B8352" t="s">
        <v>74</v>
      </c>
      <c r="E8352" s="3">
        <f>HYPERLINK("https://sao.dolgi.msk.ru/account/1404173455/", 1404173455)</f>
        <v>1404173455</v>
      </c>
      <c r="F8352">
        <v>0</v>
      </c>
    </row>
    <row r="8353" spans="1:6" x14ac:dyDescent="0.25">
      <c r="A8353" t="s">
        <v>685</v>
      </c>
      <c r="B8353" t="s">
        <v>75</v>
      </c>
      <c r="C8353" s="5" t="str">
        <f t="shared" ref="C8353:C8354" si="354">" кв. "&amp;B8353</f>
        <v xml:space="preserve"> кв. 71</v>
      </c>
      <c r="D8353" s="5" t="str">
        <f>CONCATENATE(A8353,C8353)</f>
        <v>Ленинградское шоссе, дом 120 к.3 кв. 71</v>
      </c>
      <c r="E8353" s="3">
        <f>HYPERLINK("https://sao.dolgi.msk.ru/account/1404173498/", 1404173498)</f>
        <v>1404173498</v>
      </c>
      <c r="F8353">
        <v>36987.81</v>
      </c>
    </row>
    <row r="8354" spans="1:6" x14ac:dyDescent="0.25">
      <c r="A8354" t="s">
        <v>685</v>
      </c>
      <c r="B8354" t="s">
        <v>76</v>
      </c>
      <c r="C8354" s="5" t="str">
        <f t="shared" si="354"/>
        <v xml:space="preserve"> кв. 72</v>
      </c>
      <c r="D8354" s="5" t="str">
        <f>CONCATENATE(A8354,C8354)</f>
        <v>Ленинградское шоссе, дом 120 к.3 кв. 72</v>
      </c>
      <c r="E8354" s="3">
        <f>HYPERLINK("https://sao.dolgi.msk.ru/account/1404173447/", 1404173447)</f>
        <v>1404173447</v>
      </c>
      <c r="F8354">
        <v>47217.63</v>
      </c>
    </row>
    <row r="8355" spans="1:6" hidden="1" x14ac:dyDescent="0.25">
      <c r="A8355" t="s">
        <v>685</v>
      </c>
      <c r="B8355" t="s">
        <v>77</v>
      </c>
      <c r="E8355" s="3">
        <f>HYPERLINK("https://sao.dolgi.msk.ru/account/1404174343/", 1404174343)</f>
        <v>1404174343</v>
      </c>
      <c r="F8355">
        <v>-30442.83</v>
      </c>
    </row>
    <row r="8356" spans="1:6" hidden="1" x14ac:dyDescent="0.25">
      <c r="A8356" t="s">
        <v>685</v>
      </c>
      <c r="B8356" t="s">
        <v>78</v>
      </c>
      <c r="E8356" s="3">
        <f>HYPERLINK("https://sao.dolgi.msk.ru/account/1404173834/", 1404173834)</f>
        <v>1404173834</v>
      </c>
      <c r="F8356">
        <v>-5169.0200000000004</v>
      </c>
    </row>
    <row r="8357" spans="1:6" x14ac:dyDescent="0.25">
      <c r="A8357" t="s">
        <v>685</v>
      </c>
      <c r="B8357" t="s">
        <v>79</v>
      </c>
      <c r="C8357" s="5" t="str">
        <f t="shared" ref="C8357:C8358" si="355">" кв. "&amp;B8357</f>
        <v xml:space="preserve"> кв. 75</v>
      </c>
      <c r="D8357" s="5" t="str">
        <f>CONCATENATE(A8357,C8357)</f>
        <v>Ленинградское шоссе, дом 120 к.3 кв. 75</v>
      </c>
      <c r="E8357" s="3">
        <f>HYPERLINK("https://sao.dolgi.msk.ru/account/1404174386/", 1404174386)</f>
        <v>1404174386</v>
      </c>
      <c r="F8357">
        <v>24239.99</v>
      </c>
    </row>
    <row r="8358" spans="1:6" x14ac:dyDescent="0.25">
      <c r="A8358" t="s">
        <v>685</v>
      </c>
      <c r="B8358" t="s">
        <v>80</v>
      </c>
      <c r="C8358" s="5" t="str">
        <f t="shared" si="355"/>
        <v xml:space="preserve"> кв. 76</v>
      </c>
      <c r="D8358" s="5" t="str">
        <f>CONCATENATE(A8358,C8358)</f>
        <v>Ленинградское шоссе, дом 120 к.3 кв. 76</v>
      </c>
      <c r="E8358" s="3">
        <f>HYPERLINK("https://sao.dolgi.msk.ru/account/1404173519/", 1404173519)</f>
        <v>1404173519</v>
      </c>
      <c r="F8358">
        <v>3254.43</v>
      </c>
    </row>
    <row r="8359" spans="1:6" hidden="1" x14ac:dyDescent="0.25">
      <c r="A8359" t="s">
        <v>685</v>
      </c>
      <c r="B8359" t="s">
        <v>81</v>
      </c>
      <c r="E8359" s="3">
        <f>HYPERLINK("https://sao.dolgi.msk.ru/account/1404173818/", 1404173818)</f>
        <v>1404173818</v>
      </c>
      <c r="F8359">
        <v>-9872.9</v>
      </c>
    </row>
    <row r="8360" spans="1:6" hidden="1" x14ac:dyDescent="0.25">
      <c r="A8360" t="s">
        <v>685</v>
      </c>
      <c r="B8360" t="s">
        <v>82</v>
      </c>
      <c r="E8360" s="3">
        <f>HYPERLINK("https://sao.dolgi.msk.ru/account/1404174394/", 1404174394)</f>
        <v>1404174394</v>
      </c>
      <c r="F8360">
        <v>-307.10000000000002</v>
      </c>
    </row>
    <row r="8361" spans="1:6" x14ac:dyDescent="0.25">
      <c r="A8361" t="s">
        <v>685</v>
      </c>
      <c r="B8361" t="s">
        <v>83</v>
      </c>
      <c r="C8361" s="5" t="str">
        <f>" кв. "&amp;B8361</f>
        <v xml:space="preserve"> кв. 79</v>
      </c>
      <c r="D8361" s="5" t="str">
        <f>CONCATENATE(A8361,C8361)</f>
        <v>Ленинградское шоссе, дом 120 к.3 кв. 79</v>
      </c>
      <c r="E8361" s="3">
        <f>HYPERLINK("https://sao.dolgi.msk.ru/account/1404173762/", 1404173762)</f>
        <v>1404173762</v>
      </c>
      <c r="F8361">
        <v>12414.5</v>
      </c>
    </row>
    <row r="8362" spans="1:6" hidden="1" x14ac:dyDescent="0.25">
      <c r="A8362" t="s">
        <v>685</v>
      </c>
      <c r="B8362" t="s">
        <v>84</v>
      </c>
      <c r="E8362" s="3">
        <f>HYPERLINK("https://sao.dolgi.msk.ru/account/1404173789/", 1404173789)</f>
        <v>1404173789</v>
      </c>
      <c r="F8362">
        <v>0</v>
      </c>
    </row>
    <row r="8363" spans="1:6" x14ac:dyDescent="0.25">
      <c r="A8363" t="s">
        <v>685</v>
      </c>
      <c r="B8363" t="s">
        <v>85</v>
      </c>
      <c r="C8363" s="5" t="str">
        <f>" кв. "&amp;B8363</f>
        <v xml:space="preserve"> кв. 81</v>
      </c>
      <c r="D8363" s="5" t="str">
        <f>CONCATENATE(A8363,C8363)</f>
        <v>Ленинградское шоссе, дом 120 к.3 кв. 81</v>
      </c>
      <c r="E8363" s="3">
        <f>HYPERLINK("https://sao.dolgi.msk.ru/account/1404174247/", 1404174247)</f>
        <v>1404174247</v>
      </c>
      <c r="F8363">
        <v>12697.19</v>
      </c>
    </row>
    <row r="8364" spans="1:6" hidden="1" x14ac:dyDescent="0.25">
      <c r="A8364" t="s">
        <v>685</v>
      </c>
      <c r="B8364" t="s">
        <v>86</v>
      </c>
      <c r="E8364" s="3">
        <f>HYPERLINK("https://sao.dolgi.msk.ru/account/1404173746/", 1404173746)</f>
        <v>1404173746</v>
      </c>
      <c r="F8364">
        <v>-307.10000000000002</v>
      </c>
    </row>
    <row r="8365" spans="1:6" hidden="1" x14ac:dyDescent="0.25">
      <c r="A8365" t="s">
        <v>685</v>
      </c>
      <c r="B8365" t="s">
        <v>87</v>
      </c>
      <c r="E8365" s="3">
        <f>HYPERLINK("https://sao.dolgi.msk.ru/account/1404174255/", 1404174255)</f>
        <v>1404174255</v>
      </c>
      <c r="F8365">
        <v>-307.10000000000002</v>
      </c>
    </row>
    <row r="8366" spans="1:6" hidden="1" x14ac:dyDescent="0.25">
      <c r="A8366" t="s">
        <v>685</v>
      </c>
      <c r="B8366" t="s">
        <v>88</v>
      </c>
      <c r="E8366" s="3">
        <f>HYPERLINK("https://sao.dolgi.msk.ru/account/1404173754/", 1404173754)</f>
        <v>1404173754</v>
      </c>
      <c r="F8366">
        <v>0</v>
      </c>
    </row>
    <row r="8367" spans="1:6" hidden="1" x14ac:dyDescent="0.25">
      <c r="A8367" t="s">
        <v>686</v>
      </c>
      <c r="B8367" t="s">
        <v>5</v>
      </c>
      <c r="E8367" s="3">
        <f>HYPERLINK("https://sao.dolgi.msk.ru/account/1404136718/", 1404136718)</f>
        <v>1404136718</v>
      </c>
      <c r="F8367">
        <v>-2891.94</v>
      </c>
    </row>
    <row r="8368" spans="1:6" hidden="1" x14ac:dyDescent="0.25">
      <c r="A8368" t="s">
        <v>686</v>
      </c>
      <c r="B8368" t="s">
        <v>6</v>
      </c>
      <c r="E8368" s="3">
        <f>HYPERLINK("https://sao.dolgi.msk.ru/account/1404135782/", 1404135782)</f>
        <v>1404135782</v>
      </c>
      <c r="F8368">
        <v>0</v>
      </c>
    </row>
    <row r="8369" spans="1:6" hidden="1" x14ac:dyDescent="0.25">
      <c r="A8369" t="s">
        <v>686</v>
      </c>
      <c r="B8369" t="s">
        <v>7</v>
      </c>
      <c r="E8369" s="3">
        <f>HYPERLINK("https://sao.dolgi.msk.ru/account/1404136267/", 1404136267)</f>
        <v>1404136267</v>
      </c>
      <c r="F8369">
        <v>-4134.2299999999996</v>
      </c>
    </row>
    <row r="8370" spans="1:6" hidden="1" x14ac:dyDescent="0.25">
      <c r="A8370" t="s">
        <v>686</v>
      </c>
      <c r="B8370" t="s">
        <v>8</v>
      </c>
      <c r="E8370" s="3">
        <f>HYPERLINK("https://sao.dolgi.msk.ru/account/1404136064/", 1404136064)</f>
        <v>1404136064</v>
      </c>
      <c r="F8370">
        <v>-1591.59</v>
      </c>
    </row>
    <row r="8371" spans="1:6" hidden="1" x14ac:dyDescent="0.25">
      <c r="A8371" t="s">
        <v>686</v>
      </c>
      <c r="B8371" t="s">
        <v>9</v>
      </c>
      <c r="E8371" s="3">
        <f>HYPERLINK("https://sao.dolgi.msk.ru/account/1404135811/", 1404135811)</f>
        <v>1404135811</v>
      </c>
      <c r="F8371">
        <v>-4028.02</v>
      </c>
    </row>
    <row r="8372" spans="1:6" x14ac:dyDescent="0.25">
      <c r="A8372" t="s">
        <v>686</v>
      </c>
      <c r="B8372" t="s">
        <v>10</v>
      </c>
      <c r="C8372" s="5" t="str">
        <f>" кв. "&amp;B8372</f>
        <v xml:space="preserve"> кв. 6</v>
      </c>
      <c r="D8372" s="5" t="str">
        <f>CONCATENATE(A8372,C8372)</f>
        <v>Ленинградское шоссе, дом 124 к.1 кв. 6</v>
      </c>
      <c r="E8372" s="3">
        <f>HYPERLINK("https://sao.dolgi.msk.ru/account/1404136689/", 1404136689)</f>
        <v>1404136689</v>
      </c>
      <c r="F8372">
        <v>45040.32</v>
      </c>
    </row>
    <row r="8373" spans="1:6" hidden="1" x14ac:dyDescent="0.25">
      <c r="A8373" t="s">
        <v>686</v>
      </c>
      <c r="B8373" t="s">
        <v>11</v>
      </c>
      <c r="E8373" s="3">
        <f>HYPERLINK("https://sao.dolgi.msk.ru/account/1404137083/", 1404137083)</f>
        <v>1404137083</v>
      </c>
      <c r="F8373">
        <v>0</v>
      </c>
    </row>
    <row r="8374" spans="1:6" hidden="1" x14ac:dyDescent="0.25">
      <c r="A8374" t="s">
        <v>686</v>
      </c>
      <c r="B8374" t="s">
        <v>12</v>
      </c>
      <c r="E8374" s="3">
        <f>HYPERLINK("https://sao.dolgi.msk.ru/account/1404135555/", 1404135555)</f>
        <v>1404135555</v>
      </c>
      <c r="F8374">
        <v>-2974.45</v>
      </c>
    </row>
    <row r="8375" spans="1:6" hidden="1" x14ac:dyDescent="0.25">
      <c r="A8375" t="s">
        <v>686</v>
      </c>
      <c r="B8375" t="s">
        <v>13</v>
      </c>
      <c r="E8375" s="3">
        <f>HYPERLINK("https://sao.dolgi.msk.ru/account/1404136646/", 1404136646)</f>
        <v>1404136646</v>
      </c>
      <c r="F8375">
        <v>-58.33</v>
      </c>
    </row>
    <row r="8376" spans="1:6" hidden="1" x14ac:dyDescent="0.25">
      <c r="A8376" t="s">
        <v>686</v>
      </c>
      <c r="B8376" t="s">
        <v>14</v>
      </c>
      <c r="E8376" s="3">
        <f>HYPERLINK("https://sao.dolgi.msk.ru/account/1404136451/", 1404136451)</f>
        <v>1404136451</v>
      </c>
      <c r="F8376">
        <v>-7134.62</v>
      </c>
    </row>
    <row r="8377" spans="1:6" hidden="1" x14ac:dyDescent="0.25">
      <c r="A8377" t="s">
        <v>686</v>
      </c>
      <c r="B8377" t="s">
        <v>15</v>
      </c>
      <c r="E8377" s="3">
        <f>HYPERLINK("https://sao.dolgi.msk.ru/account/1404136048/", 1404136048)</f>
        <v>1404136048</v>
      </c>
      <c r="F8377">
        <v>-4501.71</v>
      </c>
    </row>
    <row r="8378" spans="1:6" hidden="1" x14ac:dyDescent="0.25">
      <c r="A8378" t="s">
        <v>686</v>
      </c>
      <c r="B8378" t="s">
        <v>16</v>
      </c>
      <c r="E8378" s="3">
        <f>HYPERLINK("https://sao.dolgi.msk.ru/account/1404137147/", 1404137147)</f>
        <v>1404137147</v>
      </c>
      <c r="F8378">
        <v>-2923.13</v>
      </c>
    </row>
    <row r="8379" spans="1:6" hidden="1" x14ac:dyDescent="0.25">
      <c r="A8379" t="s">
        <v>686</v>
      </c>
      <c r="B8379" t="s">
        <v>17</v>
      </c>
      <c r="E8379" s="3">
        <f>HYPERLINK("https://sao.dolgi.msk.ru/account/1404137286/", 1404137286)</f>
        <v>1404137286</v>
      </c>
      <c r="F8379">
        <v>-3380.36</v>
      </c>
    </row>
    <row r="8380" spans="1:6" hidden="1" x14ac:dyDescent="0.25">
      <c r="A8380" t="s">
        <v>686</v>
      </c>
      <c r="B8380" t="s">
        <v>18</v>
      </c>
      <c r="E8380" s="3">
        <f>HYPERLINK("https://sao.dolgi.msk.ru/account/1404136435/", 1404136435)</f>
        <v>1404136435</v>
      </c>
      <c r="F8380">
        <v>-1083.0899999999999</v>
      </c>
    </row>
    <row r="8381" spans="1:6" x14ac:dyDescent="0.25">
      <c r="A8381" t="s">
        <v>686</v>
      </c>
      <c r="B8381" t="s">
        <v>19</v>
      </c>
      <c r="C8381" s="5" t="str">
        <f>" кв. "&amp;B8381</f>
        <v xml:space="preserve"> кв. 15</v>
      </c>
      <c r="D8381" s="5" t="str">
        <f>CONCATENATE(A8381,C8381)</f>
        <v>Ленинградское шоссе, дом 124 к.1 кв. 15</v>
      </c>
      <c r="E8381" s="3">
        <f>HYPERLINK("https://sao.dolgi.msk.ru/account/1404136937/", 1404136937)</f>
        <v>1404136937</v>
      </c>
      <c r="F8381">
        <v>12033.21</v>
      </c>
    </row>
    <row r="8382" spans="1:6" hidden="1" x14ac:dyDescent="0.25">
      <c r="A8382" t="s">
        <v>686</v>
      </c>
      <c r="B8382" t="s">
        <v>20</v>
      </c>
      <c r="E8382" s="3">
        <f>HYPERLINK("https://sao.dolgi.msk.ru/account/1404136945/", 1404136945)</f>
        <v>1404136945</v>
      </c>
      <c r="F8382">
        <v>0</v>
      </c>
    </row>
    <row r="8383" spans="1:6" x14ac:dyDescent="0.25">
      <c r="A8383" t="s">
        <v>686</v>
      </c>
      <c r="B8383" t="s">
        <v>21</v>
      </c>
      <c r="C8383" s="5" t="str">
        <f t="shared" ref="C8383:C8384" si="356">" кв. "&amp;B8383</f>
        <v xml:space="preserve"> кв. 17</v>
      </c>
      <c r="D8383" s="5" t="str">
        <f>CONCATENATE(A8383,C8383)</f>
        <v>Ленинградское шоссе, дом 124 к.1 кв. 17</v>
      </c>
      <c r="E8383" s="3">
        <f>HYPERLINK("https://sao.dolgi.msk.ru/account/1404136099/", 1404136099)</f>
        <v>1404136099</v>
      </c>
      <c r="F8383">
        <v>52562.43</v>
      </c>
    </row>
    <row r="8384" spans="1:6" x14ac:dyDescent="0.25">
      <c r="A8384" t="s">
        <v>686</v>
      </c>
      <c r="B8384" t="s">
        <v>22</v>
      </c>
      <c r="C8384" s="5" t="str">
        <f t="shared" si="356"/>
        <v xml:space="preserve"> кв. 18</v>
      </c>
      <c r="D8384" s="5" t="str">
        <f>CONCATENATE(A8384,C8384)</f>
        <v>Ленинградское шоссе, дом 124 к.1 кв. 18</v>
      </c>
      <c r="E8384" s="3">
        <f>HYPERLINK("https://sao.dolgi.msk.ru/account/1404136929/", 1404136929)</f>
        <v>1404136929</v>
      </c>
      <c r="F8384">
        <v>3012.92</v>
      </c>
    </row>
    <row r="8385" spans="1:6" hidden="1" x14ac:dyDescent="0.25">
      <c r="A8385" t="s">
        <v>686</v>
      </c>
      <c r="B8385" t="s">
        <v>23</v>
      </c>
      <c r="E8385" s="3">
        <f>HYPERLINK("https://sao.dolgi.msk.ru/account/1404136101/", 1404136101)</f>
        <v>1404136101</v>
      </c>
      <c r="F8385">
        <v>-2778.25</v>
      </c>
    </row>
    <row r="8386" spans="1:6" hidden="1" x14ac:dyDescent="0.25">
      <c r="A8386" t="s">
        <v>686</v>
      </c>
      <c r="B8386" t="s">
        <v>24</v>
      </c>
      <c r="E8386" s="3">
        <f>HYPERLINK("https://sao.dolgi.msk.ru/account/1404135854/", 1404135854)</f>
        <v>1404135854</v>
      </c>
      <c r="F8386">
        <v>0</v>
      </c>
    </row>
    <row r="8387" spans="1:6" hidden="1" x14ac:dyDescent="0.25">
      <c r="A8387" t="s">
        <v>686</v>
      </c>
      <c r="B8387" t="s">
        <v>25</v>
      </c>
      <c r="E8387" s="3">
        <f>HYPERLINK("https://sao.dolgi.msk.ru/account/1404136953/", 1404136953)</f>
        <v>1404136953</v>
      </c>
      <c r="F8387">
        <v>-4976.42</v>
      </c>
    </row>
    <row r="8388" spans="1:6" hidden="1" x14ac:dyDescent="0.25">
      <c r="A8388" t="s">
        <v>686</v>
      </c>
      <c r="B8388" t="s">
        <v>26</v>
      </c>
      <c r="E8388" s="3">
        <f>HYPERLINK("https://sao.dolgi.msk.ru/account/1404135862/", 1404135862)</f>
        <v>1404135862</v>
      </c>
      <c r="F8388">
        <v>-3969.57</v>
      </c>
    </row>
    <row r="8389" spans="1:6" hidden="1" x14ac:dyDescent="0.25">
      <c r="A8389" t="s">
        <v>686</v>
      </c>
      <c r="B8389" t="s">
        <v>27</v>
      </c>
      <c r="E8389" s="3">
        <f>HYPERLINK("https://sao.dolgi.msk.ru/account/1404136507/", 1404136507)</f>
        <v>1404136507</v>
      </c>
      <c r="F8389">
        <v>-2721.1</v>
      </c>
    </row>
    <row r="8390" spans="1:6" hidden="1" x14ac:dyDescent="0.25">
      <c r="A8390" t="s">
        <v>686</v>
      </c>
      <c r="B8390" t="s">
        <v>28</v>
      </c>
      <c r="E8390" s="3">
        <f>HYPERLINK("https://sao.dolgi.msk.ru/account/1404136961/", 1404136961)</f>
        <v>1404136961</v>
      </c>
      <c r="F8390">
        <v>0</v>
      </c>
    </row>
    <row r="8391" spans="1:6" hidden="1" x14ac:dyDescent="0.25">
      <c r="A8391" t="s">
        <v>686</v>
      </c>
      <c r="B8391" t="s">
        <v>29</v>
      </c>
      <c r="E8391" s="3">
        <f>HYPERLINK("https://sao.dolgi.msk.ru/account/1404136515/", 1404136515)</f>
        <v>1404136515</v>
      </c>
      <c r="F8391">
        <v>-3303.38</v>
      </c>
    </row>
    <row r="8392" spans="1:6" hidden="1" x14ac:dyDescent="0.25">
      <c r="A8392" t="s">
        <v>686</v>
      </c>
      <c r="B8392" t="s">
        <v>30</v>
      </c>
      <c r="E8392" s="3">
        <f>HYPERLINK("https://sao.dolgi.msk.ru/account/1404136865/", 1404136865)</f>
        <v>1404136865</v>
      </c>
      <c r="F8392">
        <v>-4306.8599999999997</v>
      </c>
    </row>
    <row r="8393" spans="1:6" hidden="1" x14ac:dyDescent="0.25">
      <c r="A8393" t="s">
        <v>686</v>
      </c>
      <c r="B8393" t="s">
        <v>31</v>
      </c>
      <c r="E8393" s="3">
        <f>HYPERLINK("https://sao.dolgi.msk.ru/account/1404135619/", 1404135619)</f>
        <v>1404135619</v>
      </c>
      <c r="F8393">
        <v>-384.97</v>
      </c>
    </row>
    <row r="8394" spans="1:6" hidden="1" x14ac:dyDescent="0.25">
      <c r="A8394" t="s">
        <v>686</v>
      </c>
      <c r="B8394" t="s">
        <v>32</v>
      </c>
      <c r="E8394" s="3">
        <f>HYPERLINK("https://sao.dolgi.msk.ru/account/1404136021/", 1404136021)</f>
        <v>1404136021</v>
      </c>
      <c r="F8394">
        <v>-4744.49</v>
      </c>
    </row>
    <row r="8395" spans="1:6" hidden="1" x14ac:dyDescent="0.25">
      <c r="A8395" t="s">
        <v>686</v>
      </c>
      <c r="B8395" t="s">
        <v>33</v>
      </c>
      <c r="E8395" s="3">
        <f>HYPERLINK("https://sao.dolgi.msk.ru/account/1404136304/", 1404136304)</f>
        <v>1404136304</v>
      </c>
      <c r="F8395">
        <v>-5438.61</v>
      </c>
    </row>
    <row r="8396" spans="1:6" hidden="1" x14ac:dyDescent="0.25">
      <c r="A8396" t="s">
        <v>686</v>
      </c>
      <c r="B8396" t="s">
        <v>34</v>
      </c>
      <c r="E8396" s="3">
        <f>HYPERLINK("https://sao.dolgi.msk.ru/account/1404136128/", 1404136128)</f>
        <v>1404136128</v>
      </c>
      <c r="F8396">
        <v>-2425.84</v>
      </c>
    </row>
    <row r="8397" spans="1:6" hidden="1" x14ac:dyDescent="0.25">
      <c r="A8397" t="s">
        <v>686</v>
      </c>
      <c r="B8397" t="s">
        <v>35</v>
      </c>
      <c r="E8397" s="3">
        <f>HYPERLINK("https://sao.dolgi.msk.ru/account/1404137112/", 1404137112)</f>
        <v>1404137112</v>
      </c>
      <c r="F8397">
        <v>-4239.3100000000004</v>
      </c>
    </row>
    <row r="8398" spans="1:6" x14ac:dyDescent="0.25">
      <c r="A8398" t="s">
        <v>686</v>
      </c>
      <c r="B8398" t="s">
        <v>36</v>
      </c>
      <c r="C8398" s="5" t="str">
        <f>" кв. "&amp;B8398</f>
        <v xml:space="preserve"> кв. 32</v>
      </c>
      <c r="D8398" s="5" t="str">
        <f>CONCATENATE(A8398,C8398)</f>
        <v>Ленинградское шоссе, дом 124 к.1 кв. 32</v>
      </c>
      <c r="E8398" s="3">
        <f>HYPERLINK("https://sao.dolgi.msk.ru/account/1404135774/", 1404135774)</f>
        <v>1404135774</v>
      </c>
      <c r="F8398">
        <v>275.77</v>
      </c>
    </row>
    <row r="8399" spans="1:6" hidden="1" x14ac:dyDescent="0.25">
      <c r="A8399" t="s">
        <v>686</v>
      </c>
      <c r="B8399" t="s">
        <v>37</v>
      </c>
      <c r="E8399" s="3">
        <f>HYPERLINK("https://sao.dolgi.msk.ru/account/1404135897/", 1404135897)</f>
        <v>1404135897</v>
      </c>
      <c r="F8399">
        <v>-5669.73</v>
      </c>
    </row>
    <row r="8400" spans="1:6" hidden="1" x14ac:dyDescent="0.25">
      <c r="A8400" t="s">
        <v>686</v>
      </c>
      <c r="B8400" t="s">
        <v>38</v>
      </c>
      <c r="E8400" s="3">
        <f>HYPERLINK("https://sao.dolgi.msk.ru/account/1404135918/", 1404135918)</f>
        <v>1404135918</v>
      </c>
      <c r="F8400">
        <v>0</v>
      </c>
    </row>
    <row r="8401" spans="1:6" x14ac:dyDescent="0.25">
      <c r="A8401" t="s">
        <v>686</v>
      </c>
      <c r="B8401" t="s">
        <v>39</v>
      </c>
      <c r="C8401" s="5" t="str">
        <f>" кв. "&amp;B8401</f>
        <v xml:space="preserve"> кв. 35</v>
      </c>
      <c r="D8401" s="5" t="str">
        <f>CONCATENATE(A8401,C8401)</f>
        <v>Ленинградское шоссе, дом 124 к.1 кв. 35</v>
      </c>
      <c r="E8401" s="3">
        <f>HYPERLINK("https://sao.dolgi.msk.ru/account/1404136486/", 1404136486)</f>
        <v>1404136486</v>
      </c>
      <c r="F8401">
        <v>4142.4399999999996</v>
      </c>
    </row>
    <row r="8402" spans="1:6" hidden="1" x14ac:dyDescent="0.25">
      <c r="A8402" t="s">
        <v>686</v>
      </c>
      <c r="B8402" t="s">
        <v>40</v>
      </c>
      <c r="E8402" s="3">
        <f>HYPERLINK("https://sao.dolgi.msk.ru/account/1404137104/", 1404137104)</f>
        <v>1404137104</v>
      </c>
      <c r="F8402">
        <v>-2486.86</v>
      </c>
    </row>
    <row r="8403" spans="1:6" hidden="1" x14ac:dyDescent="0.25">
      <c r="A8403" t="s">
        <v>686</v>
      </c>
      <c r="B8403" t="s">
        <v>41</v>
      </c>
      <c r="E8403" s="3">
        <f>HYPERLINK("https://sao.dolgi.msk.ru/account/1404135803/", 1404135803)</f>
        <v>1404135803</v>
      </c>
      <c r="F8403">
        <v>-5039.87</v>
      </c>
    </row>
    <row r="8404" spans="1:6" hidden="1" x14ac:dyDescent="0.25">
      <c r="A8404" t="s">
        <v>686</v>
      </c>
      <c r="B8404" t="s">
        <v>42</v>
      </c>
      <c r="E8404" s="3">
        <f>HYPERLINK("https://sao.dolgi.msk.ru/account/1404136726/", 1404136726)</f>
        <v>1404136726</v>
      </c>
      <c r="F8404">
        <v>-6956.02</v>
      </c>
    </row>
    <row r="8405" spans="1:6" hidden="1" x14ac:dyDescent="0.25">
      <c r="A8405" t="s">
        <v>686</v>
      </c>
      <c r="B8405" t="s">
        <v>43</v>
      </c>
      <c r="E8405" s="3">
        <f>HYPERLINK("https://sao.dolgi.msk.ru/account/1404136662/", 1404136662)</f>
        <v>1404136662</v>
      </c>
      <c r="F8405">
        <v>-6382.29</v>
      </c>
    </row>
    <row r="8406" spans="1:6" hidden="1" x14ac:dyDescent="0.25">
      <c r="A8406" t="s">
        <v>686</v>
      </c>
      <c r="B8406" t="s">
        <v>44</v>
      </c>
      <c r="E8406" s="3">
        <f>HYPERLINK("https://sao.dolgi.msk.ru/account/1404137294/", 1404137294)</f>
        <v>1404137294</v>
      </c>
      <c r="F8406">
        <v>-1051.1400000000001</v>
      </c>
    </row>
    <row r="8407" spans="1:6" hidden="1" x14ac:dyDescent="0.25">
      <c r="A8407" t="s">
        <v>686</v>
      </c>
      <c r="B8407" t="s">
        <v>45</v>
      </c>
      <c r="E8407" s="3">
        <f>HYPERLINK("https://sao.dolgi.msk.ru/account/1404137278/", 1404137278)</f>
        <v>1404137278</v>
      </c>
      <c r="F8407">
        <v>0</v>
      </c>
    </row>
    <row r="8408" spans="1:6" hidden="1" x14ac:dyDescent="0.25">
      <c r="A8408" t="s">
        <v>686</v>
      </c>
      <c r="B8408" t="s">
        <v>46</v>
      </c>
      <c r="E8408" s="3">
        <f>HYPERLINK("https://sao.dolgi.msk.ru/account/1404136224/", 1404136224)</f>
        <v>1404136224</v>
      </c>
      <c r="F8408">
        <v>-5075.43</v>
      </c>
    </row>
    <row r="8409" spans="1:6" hidden="1" x14ac:dyDescent="0.25">
      <c r="A8409" t="s">
        <v>686</v>
      </c>
      <c r="B8409" t="s">
        <v>47</v>
      </c>
      <c r="E8409" s="3">
        <f>HYPERLINK("https://sao.dolgi.msk.ru/account/1404136056/", 1404136056)</f>
        <v>1404136056</v>
      </c>
      <c r="F8409">
        <v>0</v>
      </c>
    </row>
    <row r="8410" spans="1:6" hidden="1" x14ac:dyDescent="0.25">
      <c r="A8410" t="s">
        <v>686</v>
      </c>
      <c r="B8410" t="s">
        <v>48</v>
      </c>
      <c r="E8410" s="3">
        <f>HYPERLINK("https://sao.dolgi.msk.ru/account/1404136531/", 1404136531)</f>
        <v>1404136531</v>
      </c>
      <c r="F8410">
        <v>-2890.79</v>
      </c>
    </row>
    <row r="8411" spans="1:6" hidden="1" x14ac:dyDescent="0.25">
      <c r="A8411" t="s">
        <v>686</v>
      </c>
      <c r="B8411" t="s">
        <v>48</v>
      </c>
      <c r="E8411" s="3">
        <f>HYPERLINK("https://sao.dolgi.msk.ru/account/1404171337/", 1404171337)</f>
        <v>1404171337</v>
      </c>
      <c r="F8411">
        <v>-2172.0300000000002</v>
      </c>
    </row>
    <row r="8412" spans="1:6" hidden="1" x14ac:dyDescent="0.25">
      <c r="A8412" t="s">
        <v>686</v>
      </c>
      <c r="B8412" t="s">
        <v>49</v>
      </c>
      <c r="E8412" s="3">
        <f>HYPERLINK("https://sao.dolgi.msk.ru/account/1404136283/", 1404136283)</f>
        <v>1404136283</v>
      </c>
      <c r="F8412">
        <v>-1107.48</v>
      </c>
    </row>
    <row r="8413" spans="1:6" hidden="1" x14ac:dyDescent="0.25">
      <c r="A8413" t="s">
        <v>686</v>
      </c>
      <c r="B8413" t="s">
        <v>50</v>
      </c>
      <c r="E8413" s="3">
        <f>HYPERLINK("https://sao.dolgi.msk.ru/account/1404136873/", 1404136873)</f>
        <v>1404136873</v>
      </c>
      <c r="F8413">
        <v>-2552.09</v>
      </c>
    </row>
    <row r="8414" spans="1:6" hidden="1" x14ac:dyDescent="0.25">
      <c r="A8414" t="s">
        <v>686</v>
      </c>
      <c r="B8414" t="s">
        <v>51</v>
      </c>
      <c r="E8414" s="3">
        <f>HYPERLINK("https://sao.dolgi.msk.ru/account/1404136849/", 1404136849)</f>
        <v>1404136849</v>
      </c>
      <c r="F8414">
        <v>-3747.93</v>
      </c>
    </row>
    <row r="8415" spans="1:6" hidden="1" x14ac:dyDescent="0.25">
      <c r="A8415" t="s">
        <v>686</v>
      </c>
      <c r="B8415" t="s">
        <v>52</v>
      </c>
      <c r="E8415" s="3">
        <f>HYPERLINK("https://sao.dolgi.msk.ru/account/1404137307/", 1404137307)</f>
        <v>1404137307</v>
      </c>
      <c r="F8415">
        <v>-4934.49</v>
      </c>
    </row>
    <row r="8416" spans="1:6" hidden="1" x14ac:dyDescent="0.25">
      <c r="A8416" t="s">
        <v>686</v>
      </c>
      <c r="B8416" t="s">
        <v>53</v>
      </c>
      <c r="E8416" s="3">
        <f>HYPERLINK("https://sao.dolgi.msk.ru/account/1404136478/", 1404136478)</f>
        <v>1404136478</v>
      </c>
      <c r="F8416">
        <v>-3388.36</v>
      </c>
    </row>
    <row r="8417" spans="1:6" hidden="1" x14ac:dyDescent="0.25">
      <c r="A8417" t="s">
        <v>686</v>
      </c>
      <c r="B8417" t="s">
        <v>54</v>
      </c>
      <c r="E8417" s="3">
        <f>HYPERLINK("https://sao.dolgi.msk.ru/account/1404137155/", 1404137155)</f>
        <v>1404137155</v>
      </c>
      <c r="F8417">
        <v>-5719.13</v>
      </c>
    </row>
    <row r="8418" spans="1:6" hidden="1" x14ac:dyDescent="0.25">
      <c r="A8418" t="s">
        <v>686</v>
      </c>
      <c r="B8418" t="s">
        <v>55</v>
      </c>
      <c r="E8418" s="3">
        <f>HYPERLINK("https://sao.dolgi.msk.ru/account/1404136638/", 1404136638)</f>
        <v>1404136638</v>
      </c>
      <c r="F8418">
        <v>-4614.7</v>
      </c>
    </row>
    <row r="8419" spans="1:6" hidden="1" x14ac:dyDescent="0.25">
      <c r="A8419" t="s">
        <v>686</v>
      </c>
      <c r="B8419" t="s">
        <v>56</v>
      </c>
      <c r="E8419" s="3">
        <f>HYPERLINK("https://sao.dolgi.msk.ru/account/1404136291/", 1404136291)</f>
        <v>1404136291</v>
      </c>
      <c r="F8419">
        <v>-4037.67</v>
      </c>
    </row>
    <row r="8420" spans="1:6" hidden="1" x14ac:dyDescent="0.25">
      <c r="A8420" t="s">
        <v>686</v>
      </c>
      <c r="B8420" t="s">
        <v>57</v>
      </c>
      <c r="E8420" s="3">
        <f>HYPERLINK("https://sao.dolgi.msk.ru/account/1404136881/", 1404136881)</f>
        <v>1404136881</v>
      </c>
      <c r="F8420">
        <v>-3684.75</v>
      </c>
    </row>
    <row r="8421" spans="1:6" hidden="1" x14ac:dyDescent="0.25">
      <c r="A8421" t="s">
        <v>686</v>
      </c>
      <c r="B8421" t="s">
        <v>58</v>
      </c>
      <c r="E8421" s="3">
        <f>HYPERLINK("https://sao.dolgi.msk.ru/account/1404137008/", 1404137008)</f>
        <v>1404137008</v>
      </c>
      <c r="F8421">
        <v>-5974.35</v>
      </c>
    </row>
    <row r="8422" spans="1:6" hidden="1" x14ac:dyDescent="0.25">
      <c r="A8422" t="s">
        <v>686</v>
      </c>
      <c r="B8422" t="s">
        <v>59</v>
      </c>
      <c r="E8422" s="3">
        <f>HYPERLINK("https://sao.dolgi.msk.ru/account/1404137323/", 1404137323)</f>
        <v>1404137323</v>
      </c>
      <c r="F8422">
        <v>-4392.25</v>
      </c>
    </row>
    <row r="8423" spans="1:6" hidden="1" x14ac:dyDescent="0.25">
      <c r="A8423" t="s">
        <v>686</v>
      </c>
      <c r="B8423" t="s">
        <v>60</v>
      </c>
      <c r="E8423" s="3">
        <f>HYPERLINK("https://sao.dolgi.msk.ru/account/1404135889/", 1404135889)</f>
        <v>1404135889</v>
      </c>
      <c r="F8423">
        <v>-3006.33</v>
      </c>
    </row>
    <row r="8424" spans="1:6" hidden="1" x14ac:dyDescent="0.25">
      <c r="A8424" t="s">
        <v>686</v>
      </c>
      <c r="B8424" t="s">
        <v>61</v>
      </c>
      <c r="E8424" s="3">
        <f>HYPERLINK("https://sao.dolgi.msk.ru/account/1404137163/", 1404137163)</f>
        <v>1404137163</v>
      </c>
      <c r="F8424">
        <v>-4447.58</v>
      </c>
    </row>
    <row r="8425" spans="1:6" hidden="1" x14ac:dyDescent="0.25">
      <c r="A8425" t="s">
        <v>686</v>
      </c>
      <c r="B8425" t="s">
        <v>62</v>
      </c>
      <c r="E8425" s="3">
        <f>HYPERLINK("https://sao.dolgi.msk.ru/account/1404136654/", 1404136654)</f>
        <v>1404136654</v>
      </c>
      <c r="F8425">
        <v>-377.48</v>
      </c>
    </row>
    <row r="8426" spans="1:6" hidden="1" x14ac:dyDescent="0.25">
      <c r="A8426" t="s">
        <v>686</v>
      </c>
      <c r="B8426" t="s">
        <v>63</v>
      </c>
      <c r="E8426" s="3">
        <f>HYPERLINK("https://sao.dolgi.msk.ru/account/1404136144/", 1404136144)</f>
        <v>1404136144</v>
      </c>
      <c r="F8426">
        <v>-2132.73</v>
      </c>
    </row>
    <row r="8427" spans="1:6" hidden="1" x14ac:dyDescent="0.25">
      <c r="A8427" t="s">
        <v>686</v>
      </c>
      <c r="B8427" t="s">
        <v>64</v>
      </c>
      <c r="E8427" s="3">
        <f>HYPERLINK("https://sao.dolgi.msk.ru/account/1404137315/", 1404137315)</f>
        <v>1404137315</v>
      </c>
      <c r="F8427">
        <v>-3219.82</v>
      </c>
    </row>
    <row r="8428" spans="1:6" hidden="1" x14ac:dyDescent="0.25">
      <c r="A8428" t="s">
        <v>686</v>
      </c>
      <c r="B8428" t="s">
        <v>65</v>
      </c>
      <c r="E8428" s="3">
        <f>HYPERLINK("https://sao.dolgi.msk.ru/account/1404136339/", 1404136339)</f>
        <v>1404136339</v>
      </c>
      <c r="F8428">
        <v>-5327.62</v>
      </c>
    </row>
    <row r="8429" spans="1:6" hidden="1" x14ac:dyDescent="0.25">
      <c r="A8429" t="s">
        <v>686</v>
      </c>
      <c r="B8429" t="s">
        <v>66</v>
      </c>
      <c r="E8429" s="3">
        <f>HYPERLINK("https://sao.dolgi.msk.ru/account/1404136742/", 1404136742)</f>
        <v>1404136742</v>
      </c>
      <c r="F8429">
        <v>-5493.43</v>
      </c>
    </row>
    <row r="8430" spans="1:6" x14ac:dyDescent="0.25">
      <c r="A8430" t="s">
        <v>686</v>
      </c>
      <c r="B8430" t="s">
        <v>67</v>
      </c>
      <c r="C8430" s="5" t="str">
        <f>" кв. "&amp;B8430</f>
        <v xml:space="preserve"> кв. 63</v>
      </c>
      <c r="D8430" s="5" t="str">
        <f>CONCATENATE(A8430,C8430)</f>
        <v>Ленинградское шоссе, дом 124 к.1 кв. 63</v>
      </c>
      <c r="E8430" s="3">
        <f>HYPERLINK("https://sao.dolgi.msk.ru/account/1404136566/", 1404136566)</f>
        <v>1404136566</v>
      </c>
      <c r="F8430">
        <v>3366.62</v>
      </c>
    </row>
    <row r="8431" spans="1:6" hidden="1" x14ac:dyDescent="0.25">
      <c r="A8431" t="s">
        <v>686</v>
      </c>
      <c r="B8431" t="s">
        <v>68</v>
      </c>
      <c r="E8431" s="3">
        <f>HYPERLINK("https://sao.dolgi.msk.ru/account/1404135934/", 1404135934)</f>
        <v>1404135934</v>
      </c>
      <c r="F8431">
        <v>0</v>
      </c>
    </row>
    <row r="8432" spans="1:6" hidden="1" x14ac:dyDescent="0.25">
      <c r="A8432" t="s">
        <v>686</v>
      </c>
      <c r="B8432" t="s">
        <v>69</v>
      </c>
      <c r="E8432" s="3">
        <f>HYPERLINK("https://sao.dolgi.msk.ru/account/1404136574/", 1404136574)</f>
        <v>1404136574</v>
      </c>
      <c r="F8432">
        <v>-43.05</v>
      </c>
    </row>
    <row r="8433" spans="1:6" hidden="1" x14ac:dyDescent="0.25">
      <c r="A8433" t="s">
        <v>686</v>
      </c>
      <c r="B8433" t="s">
        <v>70</v>
      </c>
      <c r="E8433" s="3">
        <f>HYPERLINK("https://sao.dolgi.msk.ru/account/1404137075/", 1404137075)</f>
        <v>1404137075</v>
      </c>
      <c r="F8433">
        <v>-3717.72</v>
      </c>
    </row>
    <row r="8434" spans="1:6" hidden="1" x14ac:dyDescent="0.25">
      <c r="A8434" t="s">
        <v>686</v>
      </c>
      <c r="B8434" t="s">
        <v>71</v>
      </c>
      <c r="E8434" s="3">
        <f>HYPERLINK("https://sao.dolgi.msk.ru/account/1404137024/", 1404137024)</f>
        <v>1404137024</v>
      </c>
      <c r="F8434">
        <v>-5939.36</v>
      </c>
    </row>
    <row r="8435" spans="1:6" hidden="1" x14ac:dyDescent="0.25">
      <c r="A8435" t="s">
        <v>686</v>
      </c>
      <c r="B8435" t="s">
        <v>72</v>
      </c>
      <c r="E8435" s="3">
        <f>HYPERLINK("https://sao.dolgi.msk.ru/account/1404137171/", 1404137171)</f>
        <v>1404137171</v>
      </c>
      <c r="F8435">
        <v>-5298.98</v>
      </c>
    </row>
    <row r="8436" spans="1:6" x14ac:dyDescent="0.25">
      <c r="A8436" t="s">
        <v>686</v>
      </c>
      <c r="B8436" t="s">
        <v>73</v>
      </c>
      <c r="C8436" s="5" t="str">
        <f t="shared" ref="C8436:C8438" si="357">" кв. "&amp;B8436</f>
        <v xml:space="preserve"> кв. 69</v>
      </c>
      <c r="D8436" s="5" t="str">
        <f>CONCATENATE(A8436,C8436)</f>
        <v>Ленинградское шоссе, дом 124 к.1 кв. 69</v>
      </c>
      <c r="E8436" s="3">
        <f>HYPERLINK("https://sao.dolgi.msk.ru/account/1404135635/", 1404135635)</f>
        <v>1404135635</v>
      </c>
      <c r="F8436">
        <v>58908.75</v>
      </c>
    </row>
    <row r="8437" spans="1:6" x14ac:dyDescent="0.25">
      <c r="A8437" t="s">
        <v>686</v>
      </c>
      <c r="B8437" t="s">
        <v>74</v>
      </c>
      <c r="C8437" s="5" t="str">
        <f t="shared" si="357"/>
        <v xml:space="preserve"> кв. 70</v>
      </c>
      <c r="D8437" s="5" t="str">
        <f>CONCATENATE(A8437,C8437)</f>
        <v>Ленинградское шоссе, дом 124 к.1 кв. 70</v>
      </c>
      <c r="E8437" s="3">
        <f>HYPERLINK("https://sao.dolgi.msk.ru/account/1404136769/", 1404136769)</f>
        <v>1404136769</v>
      </c>
      <c r="F8437">
        <v>30767.82</v>
      </c>
    </row>
    <row r="8438" spans="1:6" x14ac:dyDescent="0.25">
      <c r="A8438" t="s">
        <v>686</v>
      </c>
      <c r="B8438" t="s">
        <v>75</v>
      </c>
      <c r="C8438" s="5" t="str">
        <f t="shared" si="357"/>
        <v xml:space="preserve"> кв. 71</v>
      </c>
      <c r="D8438" s="5" t="str">
        <f>CONCATENATE(A8438,C8438)</f>
        <v>Ленинградское шоссе, дом 124 к.1 кв. 71</v>
      </c>
      <c r="E8438" s="3">
        <f>HYPERLINK("https://sao.dolgi.msk.ru/account/1404135942/", 1404135942)</f>
        <v>1404135942</v>
      </c>
      <c r="F8438">
        <v>11043.25</v>
      </c>
    </row>
    <row r="8439" spans="1:6" hidden="1" x14ac:dyDescent="0.25">
      <c r="A8439" t="s">
        <v>686</v>
      </c>
      <c r="B8439" t="s">
        <v>76</v>
      </c>
      <c r="E8439" s="3">
        <f>HYPERLINK("https://sao.dolgi.msk.ru/account/1404137198/", 1404137198)</f>
        <v>1404137198</v>
      </c>
      <c r="F8439">
        <v>-6375.84</v>
      </c>
    </row>
    <row r="8440" spans="1:6" hidden="1" x14ac:dyDescent="0.25">
      <c r="A8440" t="s">
        <v>686</v>
      </c>
      <c r="B8440" t="s">
        <v>77</v>
      </c>
      <c r="E8440" s="3">
        <f>HYPERLINK("https://sao.dolgi.msk.ru/account/1404136152/", 1404136152)</f>
        <v>1404136152</v>
      </c>
      <c r="F8440">
        <v>-6947.14</v>
      </c>
    </row>
    <row r="8441" spans="1:6" hidden="1" x14ac:dyDescent="0.25">
      <c r="A8441" t="s">
        <v>686</v>
      </c>
      <c r="B8441" t="s">
        <v>78</v>
      </c>
      <c r="E8441" s="3">
        <f>HYPERLINK("https://sao.dolgi.msk.ru/account/1404136259/", 1404136259)</f>
        <v>1404136259</v>
      </c>
      <c r="F8441">
        <v>-10218.24</v>
      </c>
    </row>
    <row r="8442" spans="1:6" hidden="1" x14ac:dyDescent="0.25">
      <c r="A8442" t="s">
        <v>686</v>
      </c>
      <c r="B8442" t="s">
        <v>79</v>
      </c>
      <c r="E8442" s="3">
        <f>HYPERLINK("https://sao.dolgi.msk.ru/account/1404135643/", 1404135643)</f>
        <v>1404135643</v>
      </c>
      <c r="F8442">
        <v>-4543.05</v>
      </c>
    </row>
    <row r="8443" spans="1:6" hidden="1" x14ac:dyDescent="0.25">
      <c r="A8443" t="s">
        <v>686</v>
      </c>
      <c r="B8443" t="s">
        <v>80</v>
      </c>
      <c r="E8443" s="3">
        <f>HYPERLINK("https://sao.dolgi.msk.ru/account/1404136988/", 1404136988)</f>
        <v>1404136988</v>
      </c>
      <c r="F8443">
        <v>-8053.31</v>
      </c>
    </row>
    <row r="8444" spans="1:6" hidden="1" x14ac:dyDescent="0.25">
      <c r="A8444" t="s">
        <v>686</v>
      </c>
      <c r="B8444" t="s">
        <v>81</v>
      </c>
      <c r="E8444" s="3">
        <f>HYPERLINK("https://sao.dolgi.msk.ru/account/1404137032/", 1404137032)</f>
        <v>1404137032</v>
      </c>
      <c r="F8444">
        <v>-5333.49</v>
      </c>
    </row>
    <row r="8445" spans="1:6" hidden="1" x14ac:dyDescent="0.25">
      <c r="A8445" t="s">
        <v>686</v>
      </c>
      <c r="B8445" t="s">
        <v>82</v>
      </c>
      <c r="E8445" s="3">
        <f>HYPERLINK("https://sao.dolgi.msk.ru/account/1404137219/", 1404137219)</f>
        <v>1404137219</v>
      </c>
      <c r="F8445">
        <v>-378.89</v>
      </c>
    </row>
    <row r="8446" spans="1:6" hidden="1" x14ac:dyDescent="0.25">
      <c r="A8446" t="s">
        <v>686</v>
      </c>
      <c r="B8446" t="s">
        <v>83</v>
      </c>
      <c r="E8446" s="3">
        <f>HYPERLINK("https://sao.dolgi.msk.ru/account/1404136697/", 1404136697)</f>
        <v>1404136697</v>
      </c>
      <c r="F8446">
        <v>-3845.38</v>
      </c>
    </row>
    <row r="8447" spans="1:6" hidden="1" x14ac:dyDescent="0.25">
      <c r="A8447" t="s">
        <v>686</v>
      </c>
      <c r="B8447" t="s">
        <v>84</v>
      </c>
      <c r="E8447" s="3">
        <f>HYPERLINK("https://sao.dolgi.msk.ru/account/1404136347/", 1404136347)</f>
        <v>1404136347</v>
      </c>
      <c r="F8447">
        <v>0</v>
      </c>
    </row>
    <row r="8448" spans="1:6" hidden="1" x14ac:dyDescent="0.25">
      <c r="A8448" t="s">
        <v>686</v>
      </c>
      <c r="B8448" t="s">
        <v>85</v>
      </c>
      <c r="E8448" s="3">
        <f>HYPERLINK("https://sao.dolgi.msk.ru/account/1404136216/", 1404136216)</f>
        <v>1404136216</v>
      </c>
      <c r="F8448">
        <v>-5583.15</v>
      </c>
    </row>
    <row r="8449" spans="1:6" hidden="1" x14ac:dyDescent="0.25">
      <c r="A8449" t="s">
        <v>686</v>
      </c>
      <c r="B8449" t="s">
        <v>86</v>
      </c>
      <c r="E8449" s="3">
        <f>HYPERLINK("https://sao.dolgi.msk.ru/account/1404136427/", 1404136427)</f>
        <v>1404136427</v>
      </c>
      <c r="F8449">
        <v>-2170.1999999999998</v>
      </c>
    </row>
    <row r="8450" spans="1:6" hidden="1" x14ac:dyDescent="0.25">
      <c r="A8450" t="s">
        <v>686</v>
      </c>
      <c r="B8450" t="s">
        <v>87</v>
      </c>
      <c r="E8450" s="3">
        <f>HYPERLINK("https://sao.dolgi.msk.ru/account/1404135651/", 1404135651)</f>
        <v>1404135651</v>
      </c>
      <c r="F8450">
        <v>-6139.38</v>
      </c>
    </row>
    <row r="8451" spans="1:6" hidden="1" x14ac:dyDescent="0.25">
      <c r="A8451" t="s">
        <v>686</v>
      </c>
      <c r="B8451" t="s">
        <v>88</v>
      </c>
      <c r="E8451" s="3">
        <f>HYPERLINK("https://sao.dolgi.msk.ru/account/1404135838/", 1404135838)</f>
        <v>1404135838</v>
      </c>
      <c r="F8451">
        <v>-6964.46</v>
      </c>
    </row>
    <row r="8452" spans="1:6" hidden="1" x14ac:dyDescent="0.25">
      <c r="A8452" t="s">
        <v>686</v>
      </c>
      <c r="B8452" t="s">
        <v>89</v>
      </c>
      <c r="E8452" s="3">
        <f>HYPERLINK("https://sao.dolgi.msk.ru/account/1404135678/", 1404135678)</f>
        <v>1404135678</v>
      </c>
      <c r="F8452">
        <v>-6915.72</v>
      </c>
    </row>
    <row r="8453" spans="1:6" hidden="1" x14ac:dyDescent="0.25">
      <c r="A8453" t="s">
        <v>686</v>
      </c>
      <c r="B8453" t="s">
        <v>90</v>
      </c>
      <c r="E8453" s="3">
        <f>HYPERLINK("https://sao.dolgi.msk.ru/account/1404137227/", 1404137227)</f>
        <v>1404137227</v>
      </c>
      <c r="F8453">
        <v>0</v>
      </c>
    </row>
    <row r="8454" spans="1:6" hidden="1" x14ac:dyDescent="0.25">
      <c r="A8454" t="s">
        <v>686</v>
      </c>
      <c r="B8454" t="s">
        <v>91</v>
      </c>
      <c r="E8454" s="3">
        <f>HYPERLINK("https://sao.dolgi.msk.ru/account/1404136857/", 1404136857)</f>
        <v>1404136857</v>
      </c>
      <c r="F8454">
        <v>-5035.6099999999997</v>
      </c>
    </row>
    <row r="8455" spans="1:6" hidden="1" x14ac:dyDescent="0.25">
      <c r="A8455" t="s">
        <v>686</v>
      </c>
      <c r="B8455" t="s">
        <v>92</v>
      </c>
      <c r="E8455" s="3">
        <f>HYPERLINK("https://sao.dolgi.msk.ru/account/1404137139/", 1404137139)</f>
        <v>1404137139</v>
      </c>
      <c r="F8455">
        <v>-268.33999999999997</v>
      </c>
    </row>
    <row r="8456" spans="1:6" hidden="1" x14ac:dyDescent="0.25">
      <c r="A8456" t="s">
        <v>686</v>
      </c>
      <c r="B8456" t="s">
        <v>93</v>
      </c>
      <c r="E8456" s="3">
        <f>HYPERLINK("https://sao.dolgi.msk.ru/account/1404135547/", 1404135547)</f>
        <v>1404135547</v>
      </c>
      <c r="F8456">
        <v>-5317</v>
      </c>
    </row>
    <row r="8457" spans="1:6" hidden="1" x14ac:dyDescent="0.25">
      <c r="A8457" t="s">
        <v>686</v>
      </c>
      <c r="B8457" t="s">
        <v>94</v>
      </c>
      <c r="E8457" s="3">
        <f>HYPERLINK("https://sao.dolgi.msk.ru/account/1404137059/", 1404137059)</f>
        <v>1404137059</v>
      </c>
      <c r="F8457">
        <v>-3707.89</v>
      </c>
    </row>
    <row r="8458" spans="1:6" hidden="1" x14ac:dyDescent="0.25">
      <c r="A8458" t="s">
        <v>686</v>
      </c>
      <c r="B8458" t="s">
        <v>95</v>
      </c>
      <c r="E8458" s="3">
        <f>HYPERLINK("https://sao.dolgi.msk.ru/account/1404137235/", 1404137235)</f>
        <v>1404137235</v>
      </c>
      <c r="F8458">
        <v>-5170.53</v>
      </c>
    </row>
    <row r="8459" spans="1:6" hidden="1" x14ac:dyDescent="0.25">
      <c r="A8459" t="s">
        <v>686</v>
      </c>
      <c r="B8459" t="s">
        <v>96</v>
      </c>
      <c r="E8459" s="3">
        <f>HYPERLINK("https://sao.dolgi.msk.ru/account/1404136777/", 1404136777)</f>
        <v>1404136777</v>
      </c>
      <c r="F8459">
        <v>-8271.1299999999992</v>
      </c>
    </row>
    <row r="8460" spans="1:6" hidden="1" x14ac:dyDescent="0.25">
      <c r="A8460" t="s">
        <v>686</v>
      </c>
      <c r="B8460" t="s">
        <v>97</v>
      </c>
      <c r="E8460" s="3">
        <f>HYPERLINK("https://sao.dolgi.msk.ru/account/1404136558/", 1404136558)</f>
        <v>1404136558</v>
      </c>
      <c r="F8460">
        <v>-7334.24</v>
      </c>
    </row>
    <row r="8461" spans="1:6" hidden="1" x14ac:dyDescent="0.25">
      <c r="A8461" t="s">
        <v>686</v>
      </c>
      <c r="B8461" t="s">
        <v>98</v>
      </c>
      <c r="E8461" s="3">
        <f>HYPERLINK("https://sao.dolgi.msk.ru/account/1404136275/", 1404136275)</f>
        <v>1404136275</v>
      </c>
      <c r="F8461">
        <v>-4771.25</v>
      </c>
    </row>
    <row r="8462" spans="1:6" hidden="1" x14ac:dyDescent="0.25">
      <c r="A8462" t="s">
        <v>686</v>
      </c>
      <c r="B8462" t="s">
        <v>99</v>
      </c>
      <c r="E8462" s="3">
        <f>HYPERLINK("https://sao.dolgi.msk.ru/account/1404135598/", 1404135598)</f>
        <v>1404135598</v>
      </c>
      <c r="F8462">
        <v>0</v>
      </c>
    </row>
    <row r="8463" spans="1:6" hidden="1" x14ac:dyDescent="0.25">
      <c r="A8463" t="s">
        <v>686</v>
      </c>
      <c r="B8463" t="s">
        <v>100</v>
      </c>
      <c r="E8463" s="3">
        <f>HYPERLINK("https://sao.dolgi.msk.ru/account/1404136734/", 1404136734)</f>
        <v>1404136734</v>
      </c>
      <c r="F8463">
        <v>-4143.95</v>
      </c>
    </row>
    <row r="8464" spans="1:6" hidden="1" x14ac:dyDescent="0.25">
      <c r="A8464" t="s">
        <v>686</v>
      </c>
      <c r="B8464" t="s">
        <v>101</v>
      </c>
      <c r="E8464" s="3">
        <f>HYPERLINK("https://sao.dolgi.msk.ru/account/1404136136/", 1404136136)</f>
        <v>1404136136</v>
      </c>
      <c r="F8464">
        <v>-4828.92</v>
      </c>
    </row>
    <row r="8465" spans="1:6" hidden="1" x14ac:dyDescent="0.25">
      <c r="A8465" t="s">
        <v>686</v>
      </c>
      <c r="B8465" t="s">
        <v>102</v>
      </c>
      <c r="E8465" s="3">
        <f>HYPERLINK("https://sao.dolgi.msk.ru/account/1404136785/", 1404136785)</f>
        <v>1404136785</v>
      </c>
      <c r="F8465">
        <v>-3189.33</v>
      </c>
    </row>
    <row r="8466" spans="1:6" x14ac:dyDescent="0.25">
      <c r="A8466" t="s">
        <v>686</v>
      </c>
      <c r="B8466" t="s">
        <v>103</v>
      </c>
      <c r="C8466" s="5" t="str">
        <f>" кв. "&amp;B8466</f>
        <v xml:space="preserve"> кв. 99</v>
      </c>
      <c r="D8466" s="5" t="str">
        <f>CONCATENATE(A8466,C8466)</f>
        <v>Ленинградское шоссе, дом 124 к.1 кв. 99</v>
      </c>
      <c r="E8466" s="3">
        <f>HYPERLINK("https://sao.dolgi.msk.ru/account/1404136179/", 1404136179)</f>
        <v>1404136179</v>
      </c>
      <c r="F8466">
        <v>8814.75</v>
      </c>
    </row>
    <row r="8467" spans="1:6" hidden="1" x14ac:dyDescent="0.25">
      <c r="A8467" t="s">
        <v>686</v>
      </c>
      <c r="B8467" t="s">
        <v>104</v>
      </c>
      <c r="E8467" s="3">
        <f>HYPERLINK("https://sao.dolgi.msk.ru/account/1404135969/", 1404135969)</f>
        <v>1404135969</v>
      </c>
      <c r="F8467">
        <v>-3632.91</v>
      </c>
    </row>
    <row r="8468" spans="1:6" hidden="1" x14ac:dyDescent="0.25">
      <c r="A8468" t="s">
        <v>686</v>
      </c>
      <c r="B8468" t="s">
        <v>105</v>
      </c>
      <c r="E8468" s="3">
        <f>HYPERLINK("https://sao.dolgi.msk.ru/account/1404136793/", 1404136793)</f>
        <v>1404136793</v>
      </c>
      <c r="F8468">
        <v>0</v>
      </c>
    </row>
    <row r="8469" spans="1:6" hidden="1" x14ac:dyDescent="0.25">
      <c r="A8469" t="s">
        <v>686</v>
      </c>
      <c r="B8469" t="s">
        <v>106</v>
      </c>
      <c r="E8469" s="3">
        <f>HYPERLINK("https://sao.dolgi.msk.ru/account/1404135977/", 1404135977)</f>
        <v>1404135977</v>
      </c>
      <c r="F8469">
        <v>-781.24</v>
      </c>
    </row>
    <row r="8470" spans="1:6" hidden="1" x14ac:dyDescent="0.25">
      <c r="A8470" t="s">
        <v>686</v>
      </c>
      <c r="B8470" t="s">
        <v>107</v>
      </c>
      <c r="E8470" s="3">
        <f>HYPERLINK("https://sao.dolgi.msk.ru/account/1404136582/", 1404136582)</f>
        <v>1404136582</v>
      </c>
      <c r="F8470">
        <v>-5386.29</v>
      </c>
    </row>
    <row r="8471" spans="1:6" hidden="1" x14ac:dyDescent="0.25">
      <c r="A8471" t="s">
        <v>686</v>
      </c>
      <c r="B8471" t="s">
        <v>108</v>
      </c>
      <c r="E8471" s="3">
        <f>HYPERLINK("https://sao.dolgi.msk.ru/account/1404136523/", 1404136523)</f>
        <v>1404136523</v>
      </c>
      <c r="F8471">
        <v>-4749.6000000000004</v>
      </c>
    </row>
    <row r="8472" spans="1:6" hidden="1" x14ac:dyDescent="0.25">
      <c r="A8472" t="s">
        <v>686</v>
      </c>
      <c r="B8472" t="s">
        <v>109</v>
      </c>
      <c r="E8472" s="3">
        <f>HYPERLINK("https://sao.dolgi.msk.ru/account/1404135686/", 1404135686)</f>
        <v>1404135686</v>
      </c>
      <c r="F8472">
        <v>-1606.76</v>
      </c>
    </row>
    <row r="8473" spans="1:6" hidden="1" x14ac:dyDescent="0.25">
      <c r="A8473" t="s">
        <v>686</v>
      </c>
      <c r="B8473" t="s">
        <v>110</v>
      </c>
      <c r="E8473" s="3">
        <f>HYPERLINK("https://sao.dolgi.msk.ru/account/1404136603/", 1404136603)</f>
        <v>1404136603</v>
      </c>
      <c r="F8473">
        <v>-5486.08</v>
      </c>
    </row>
    <row r="8474" spans="1:6" hidden="1" x14ac:dyDescent="0.25">
      <c r="A8474" t="s">
        <v>686</v>
      </c>
      <c r="B8474" t="s">
        <v>111</v>
      </c>
      <c r="E8474" s="3">
        <f>HYPERLINK("https://sao.dolgi.msk.ru/account/1404136902/", 1404136902)</f>
        <v>1404136902</v>
      </c>
      <c r="F8474">
        <v>0</v>
      </c>
    </row>
    <row r="8475" spans="1:6" hidden="1" x14ac:dyDescent="0.25">
      <c r="A8475" t="s">
        <v>686</v>
      </c>
      <c r="B8475" t="s">
        <v>112</v>
      </c>
      <c r="E8475" s="3">
        <f>HYPERLINK("https://sao.dolgi.msk.ru/account/1404135694/", 1404135694)</f>
        <v>1404135694</v>
      </c>
      <c r="F8475">
        <v>-3905.7</v>
      </c>
    </row>
    <row r="8476" spans="1:6" hidden="1" x14ac:dyDescent="0.25">
      <c r="A8476" t="s">
        <v>686</v>
      </c>
      <c r="B8476" t="s">
        <v>113</v>
      </c>
      <c r="E8476" s="3">
        <f>HYPERLINK("https://sao.dolgi.msk.ru/account/1404136806/", 1404136806)</f>
        <v>1404136806</v>
      </c>
      <c r="F8476">
        <v>-7627.71</v>
      </c>
    </row>
    <row r="8477" spans="1:6" hidden="1" x14ac:dyDescent="0.25">
      <c r="A8477" t="s">
        <v>686</v>
      </c>
      <c r="B8477" t="s">
        <v>114</v>
      </c>
      <c r="E8477" s="3">
        <f>HYPERLINK("https://sao.dolgi.msk.ru/account/1404135627/", 1404135627)</f>
        <v>1404135627</v>
      </c>
      <c r="F8477">
        <v>-4249.54</v>
      </c>
    </row>
    <row r="8478" spans="1:6" x14ac:dyDescent="0.25">
      <c r="A8478" t="s">
        <v>686</v>
      </c>
      <c r="B8478" t="s">
        <v>115</v>
      </c>
      <c r="C8478" s="5" t="str">
        <f>" кв. "&amp;B8478</f>
        <v xml:space="preserve"> кв. 111</v>
      </c>
      <c r="D8478" s="5" t="str">
        <f>CONCATENATE(A8478,C8478)</f>
        <v>Ленинградское шоссе, дом 124 к.1 кв. 111</v>
      </c>
      <c r="E8478" s="3">
        <f>HYPERLINK("https://sao.dolgi.msk.ru/account/1404136611/", 1404136611)</f>
        <v>1404136611</v>
      </c>
      <c r="F8478">
        <v>18193.43</v>
      </c>
    </row>
    <row r="8479" spans="1:6" hidden="1" x14ac:dyDescent="0.25">
      <c r="A8479" t="s">
        <v>686</v>
      </c>
      <c r="B8479" t="s">
        <v>116</v>
      </c>
      <c r="E8479" s="3">
        <f>HYPERLINK("https://sao.dolgi.msk.ru/account/1404135985/", 1404135985)</f>
        <v>1404135985</v>
      </c>
      <c r="F8479">
        <v>-7319.58</v>
      </c>
    </row>
    <row r="8480" spans="1:6" hidden="1" x14ac:dyDescent="0.25">
      <c r="A8480" t="s">
        <v>686</v>
      </c>
      <c r="B8480" t="s">
        <v>117</v>
      </c>
      <c r="E8480" s="3">
        <f>HYPERLINK("https://sao.dolgi.msk.ru/account/1404135707/", 1404135707)</f>
        <v>1404135707</v>
      </c>
      <c r="F8480">
        <v>0</v>
      </c>
    </row>
    <row r="8481" spans="1:6" hidden="1" x14ac:dyDescent="0.25">
      <c r="A8481" t="s">
        <v>686</v>
      </c>
      <c r="B8481" t="s">
        <v>118</v>
      </c>
      <c r="E8481" s="3">
        <f>HYPERLINK("https://sao.dolgi.msk.ru/account/1404135715/", 1404135715)</f>
        <v>1404135715</v>
      </c>
      <c r="F8481">
        <v>-2918.6</v>
      </c>
    </row>
    <row r="8482" spans="1:6" hidden="1" x14ac:dyDescent="0.25">
      <c r="A8482" t="s">
        <v>686</v>
      </c>
      <c r="B8482" t="s">
        <v>119</v>
      </c>
      <c r="E8482" s="3">
        <f>HYPERLINK("https://sao.dolgi.msk.ru/account/1404135993/", 1404135993)</f>
        <v>1404135993</v>
      </c>
      <c r="F8482">
        <v>-5283.64</v>
      </c>
    </row>
    <row r="8483" spans="1:6" x14ac:dyDescent="0.25">
      <c r="A8483" t="s">
        <v>686</v>
      </c>
      <c r="B8483" t="s">
        <v>120</v>
      </c>
      <c r="C8483" s="5" t="str">
        <f>" кв. "&amp;B8483</f>
        <v xml:space="preserve"> кв. 116</v>
      </c>
      <c r="D8483" s="5" t="str">
        <f>CONCATENATE(A8483,C8483)</f>
        <v>Ленинградское шоссе, дом 124 к.1 кв. 116</v>
      </c>
      <c r="E8483" s="3">
        <f>HYPERLINK("https://sao.dolgi.msk.ru/account/1404135563/", 1404135563)</f>
        <v>1404135563</v>
      </c>
      <c r="F8483">
        <v>3058.17</v>
      </c>
    </row>
    <row r="8484" spans="1:6" hidden="1" x14ac:dyDescent="0.25">
      <c r="A8484" t="s">
        <v>686</v>
      </c>
      <c r="B8484" t="s">
        <v>121</v>
      </c>
      <c r="E8484" s="3">
        <f>HYPERLINK("https://sao.dolgi.msk.ru/account/1404136443/", 1404136443)</f>
        <v>1404136443</v>
      </c>
      <c r="F8484">
        <v>-3274.76</v>
      </c>
    </row>
    <row r="8485" spans="1:6" hidden="1" x14ac:dyDescent="0.25">
      <c r="A8485" t="s">
        <v>686</v>
      </c>
      <c r="B8485" t="s">
        <v>122</v>
      </c>
      <c r="E8485" s="3">
        <f>HYPERLINK("https://sao.dolgi.msk.ru/account/1404136005/", 1404136005)</f>
        <v>1404136005</v>
      </c>
      <c r="F8485">
        <v>-5361.43</v>
      </c>
    </row>
    <row r="8486" spans="1:6" hidden="1" x14ac:dyDescent="0.25">
      <c r="A8486" t="s">
        <v>686</v>
      </c>
      <c r="B8486" t="s">
        <v>123</v>
      </c>
      <c r="E8486" s="3">
        <f>HYPERLINK("https://sao.dolgi.msk.ru/account/1404135846/", 1404135846)</f>
        <v>1404135846</v>
      </c>
      <c r="F8486">
        <v>-799.48</v>
      </c>
    </row>
    <row r="8487" spans="1:6" hidden="1" x14ac:dyDescent="0.25">
      <c r="A8487" t="s">
        <v>686</v>
      </c>
      <c r="B8487" t="s">
        <v>124</v>
      </c>
      <c r="E8487" s="3">
        <f>HYPERLINK("https://sao.dolgi.msk.ru/account/1404136187/", 1404136187)</f>
        <v>1404136187</v>
      </c>
      <c r="F8487">
        <v>-6342.64</v>
      </c>
    </row>
    <row r="8488" spans="1:6" hidden="1" x14ac:dyDescent="0.25">
      <c r="A8488" t="s">
        <v>686</v>
      </c>
      <c r="B8488" t="s">
        <v>125</v>
      </c>
      <c r="E8488" s="3">
        <f>HYPERLINK("https://sao.dolgi.msk.ru/account/1404136195/", 1404136195)</f>
        <v>1404136195</v>
      </c>
      <c r="F8488">
        <v>0</v>
      </c>
    </row>
    <row r="8489" spans="1:6" hidden="1" x14ac:dyDescent="0.25">
      <c r="A8489" t="s">
        <v>686</v>
      </c>
      <c r="B8489" t="s">
        <v>126</v>
      </c>
      <c r="E8489" s="3">
        <f>HYPERLINK("https://sao.dolgi.msk.ru/account/1404136072/", 1404136072)</f>
        <v>1404136072</v>
      </c>
      <c r="F8489">
        <v>-6876.69</v>
      </c>
    </row>
    <row r="8490" spans="1:6" hidden="1" x14ac:dyDescent="0.25">
      <c r="A8490" t="s">
        <v>686</v>
      </c>
      <c r="B8490" t="s">
        <v>127</v>
      </c>
      <c r="E8490" s="3">
        <f>HYPERLINK("https://sao.dolgi.msk.ru/account/1404136814/", 1404136814)</f>
        <v>1404136814</v>
      </c>
      <c r="F8490">
        <v>-3400.38</v>
      </c>
    </row>
    <row r="8491" spans="1:6" hidden="1" x14ac:dyDescent="0.25">
      <c r="A8491" t="s">
        <v>686</v>
      </c>
      <c r="B8491" t="s">
        <v>128</v>
      </c>
      <c r="E8491" s="3">
        <f>HYPERLINK("https://sao.dolgi.msk.ru/account/1404135723/", 1404135723)</f>
        <v>1404135723</v>
      </c>
      <c r="F8491">
        <v>-5232</v>
      </c>
    </row>
    <row r="8492" spans="1:6" x14ac:dyDescent="0.25">
      <c r="A8492" t="s">
        <v>686</v>
      </c>
      <c r="B8492" t="s">
        <v>129</v>
      </c>
      <c r="C8492" s="5" t="str">
        <f t="shared" ref="C8492:C8493" si="358">" кв. "&amp;B8492</f>
        <v xml:space="preserve"> кв. 125</v>
      </c>
      <c r="D8492" s="5" t="str">
        <f>CONCATENATE(A8492,C8492)</f>
        <v>Ленинградское шоссе, дом 124 к.1 кв. 125</v>
      </c>
      <c r="E8492" s="3">
        <f>HYPERLINK("https://sao.dolgi.msk.ru/account/1404137016/", 1404137016)</f>
        <v>1404137016</v>
      </c>
      <c r="F8492">
        <v>4727.58</v>
      </c>
    </row>
    <row r="8493" spans="1:6" x14ac:dyDescent="0.25">
      <c r="A8493" t="s">
        <v>686</v>
      </c>
      <c r="B8493" t="s">
        <v>130</v>
      </c>
      <c r="C8493" s="5" t="str">
        <f t="shared" si="358"/>
        <v xml:space="preserve"> кв. 126</v>
      </c>
      <c r="D8493" s="5" t="str">
        <f>CONCATENATE(A8493,C8493)</f>
        <v>Ленинградское шоссе, дом 124 к.1 кв. 126</v>
      </c>
      <c r="E8493" s="3">
        <f>HYPERLINK("https://sao.dolgi.msk.ru/account/1404135571/", 1404135571)</f>
        <v>1404135571</v>
      </c>
      <c r="F8493">
        <v>58543.519999999997</v>
      </c>
    </row>
    <row r="8494" spans="1:6" hidden="1" x14ac:dyDescent="0.25">
      <c r="A8494" t="s">
        <v>686</v>
      </c>
      <c r="B8494" t="s">
        <v>131</v>
      </c>
      <c r="E8494" s="3">
        <f>HYPERLINK("https://sao.dolgi.msk.ru/account/1404136822/", 1404136822)</f>
        <v>1404136822</v>
      </c>
      <c r="F8494">
        <v>-5480.12</v>
      </c>
    </row>
    <row r="8495" spans="1:6" hidden="1" x14ac:dyDescent="0.25">
      <c r="A8495" t="s">
        <v>686</v>
      </c>
      <c r="B8495" t="s">
        <v>132</v>
      </c>
      <c r="E8495" s="3">
        <f>HYPERLINK("https://sao.dolgi.msk.ru/account/1404136355/", 1404136355)</f>
        <v>1404136355</v>
      </c>
      <c r="F8495">
        <v>-4871.3999999999996</v>
      </c>
    </row>
    <row r="8496" spans="1:6" hidden="1" x14ac:dyDescent="0.25">
      <c r="A8496" t="s">
        <v>686</v>
      </c>
      <c r="B8496" t="s">
        <v>133</v>
      </c>
      <c r="E8496" s="3">
        <f>HYPERLINK("https://sao.dolgi.msk.ru/account/1404136494/", 1404136494)</f>
        <v>1404136494</v>
      </c>
      <c r="F8496">
        <v>-5684.75</v>
      </c>
    </row>
    <row r="8497" spans="1:6" x14ac:dyDescent="0.25">
      <c r="A8497" t="s">
        <v>686</v>
      </c>
      <c r="B8497" t="s">
        <v>134</v>
      </c>
      <c r="C8497" s="5" t="str">
        <f>" кв. "&amp;B8497</f>
        <v xml:space="preserve"> кв. 130</v>
      </c>
      <c r="D8497" s="5" t="str">
        <f>CONCATENATE(A8497,C8497)</f>
        <v>Ленинградское шоссе, дом 124 к.1 кв. 130</v>
      </c>
      <c r="E8497" s="3">
        <f>HYPERLINK("https://sao.dolgi.msk.ru/account/1404136996/", 1404136996)</f>
        <v>1404136996</v>
      </c>
      <c r="F8497">
        <v>1165.0999999999999</v>
      </c>
    </row>
    <row r="8498" spans="1:6" hidden="1" x14ac:dyDescent="0.25">
      <c r="A8498" t="s">
        <v>686</v>
      </c>
      <c r="B8498" t="s">
        <v>135</v>
      </c>
      <c r="E8498" s="3">
        <f>HYPERLINK("https://sao.dolgi.msk.ru/account/1404136363/", 1404136363)</f>
        <v>1404136363</v>
      </c>
      <c r="F8498">
        <v>-2508.67</v>
      </c>
    </row>
    <row r="8499" spans="1:6" hidden="1" x14ac:dyDescent="0.25">
      <c r="A8499" t="s">
        <v>686</v>
      </c>
      <c r="B8499" t="s">
        <v>136</v>
      </c>
      <c r="E8499" s="3">
        <f>HYPERLINK("https://sao.dolgi.msk.ru/account/1404137243/", 1404137243)</f>
        <v>1404137243</v>
      </c>
      <c r="F8499">
        <v>-5176.54</v>
      </c>
    </row>
    <row r="8500" spans="1:6" x14ac:dyDescent="0.25">
      <c r="A8500" t="s">
        <v>686</v>
      </c>
      <c r="B8500" t="s">
        <v>137</v>
      </c>
      <c r="C8500" s="5" t="str">
        <f>" кв. "&amp;B8500</f>
        <v xml:space="preserve"> кв. 133</v>
      </c>
      <c r="D8500" s="5" t="str">
        <f>CONCATENATE(A8500,C8500)</f>
        <v>Ленинградское шоссе, дом 124 к.1 кв. 133</v>
      </c>
      <c r="E8500" s="3">
        <f>HYPERLINK("https://sao.dolgi.msk.ru/account/1404136371/", 1404136371)</f>
        <v>1404136371</v>
      </c>
      <c r="F8500">
        <v>3417.86</v>
      </c>
    </row>
    <row r="8501" spans="1:6" hidden="1" x14ac:dyDescent="0.25">
      <c r="A8501" t="s">
        <v>686</v>
      </c>
      <c r="B8501" t="s">
        <v>138</v>
      </c>
      <c r="E8501" s="3">
        <f>HYPERLINK("https://sao.dolgi.msk.ru/account/1404136398/", 1404136398)</f>
        <v>1404136398</v>
      </c>
      <c r="F8501">
        <v>-5490.7</v>
      </c>
    </row>
    <row r="8502" spans="1:6" hidden="1" x14ac:dyDescent="0.25">
      <c r="A8502" t="s">
        <v>686</v>
      </c>
      <c r="B8502" t="s">
        <v>139</v>
      </c>
      <c r="E8502" s="3">
        <f>HYPERLINK("https://sao.dolgi.msk.ru/account/1404135731/", 1404135731)</f>
        <v>1404135731</v>
      </c>
      <c r="F8502">
        <v>-4450.49</v>
      </c>
    </row>
    <row r="8503" spans="1:6" x14ac:dyDescent="0.25">
      <c r="A8503" t="s">
        <v>686</v>
      </c>
      <c r="B8503" t="s">
        <v>140</v>
      </c>
      <c r="C8503" s="5" t="str">
        <f>" кв. "&amp;B8503</f>
        <v xml:space="preserve"> кв. 136</v>
      </c>
      <c r="D8503" s="5" t="str">
        <f>CONCATENATE(A8503,C8503)</f>
        <v>Ленинградское шоссе, дом 124 к.1 кв. 136</v>
      </c>
      <c r="E8503" s="3">
        <f>HYPERLINK("https://sao.dolgi.msk.ru/account/1404137251/", 1404137251)</f>
        <v>1404137251</v>
      </c>
      <c r="F8503">
        <v>34823.519999999997</v>
      </c>
    </row>
    <row r="8504" spans="1:6" hidden="1" x14ac:dyDescent="0.25">
      <c r="A8504" t="s">
        <v>686</v>
      </c>
      <c r="B8504" t="s">
        <v>141</v>
      </c>
      <c r="E8504" s="3">
        <f>HYPERLINK("https://sao.dolgi.msk.ru/account/1404136208/", 1404136208)</f>
        <v>1404136208</v>
      </c>
      <c r="F8504">
        <v>0</v>
      </c>
    </row>
    <row r="8505" spans="1:6" hidden="1" x14ac:dyDescent="0.25">
      <c r="A8505" t="s">
        <v>686</v>
      </c>
      <c r="B8505" t="s">
        <v>142</v>
      </c>
      <c r="E8505" s="3">
        <f>HYPERLINK("https://sao.dolgi.msk.ru/account/1404135758/", 1404135758)</f>
        <v>1404135758</v>
      </c>
      <c r="F8505">
        <v>-4723.3599999999997</v>
      </c>
    </row>
    <row r="8506" spans="1:6" hidden="1" x14ac:dyDescent="0.25">
      <c r="A8506" t="s">
        <v>686</v>
      </c>
      <c r="B8506" t="s">
        <v>143</v>
      </c>
      <c r="E8506" s="3">
        <f>HYPERLINK("https://sao.dolgi.msk.ru/account/1404135539/", 1404135539)</f>
        <v>1404135539</v>
      </c>
      <c r="F8506">
        <v>-6367.52</v>
      </c>
    </row>
    <row r="8507" spans="1:6" hidden="1" x14ac:dyDescent="0.25">
      <c r="A8507" t="s">
        <v>686</v>
      </c>
      <c r="B8507" t="s">
        <v>144</v>
      </c>
      <c r="E8507" s="3">
        <f>HYPERLINK("https://sao.dolgi.msk.ru/account/1404137091/", 1404137091)</f>
        <v>1404137091</v>
      </c>
      <c r="F8507">
        <v>-54247.45</v>
      </c>
    </row>
    <row r="8508" spans="1:6" hidden="1" x14ac:dyDescent="0.25">
      <c r="A8508" t="s">
        <v>686</v>
      </c>
      <c r="B8508" t="s">
        <v>145</v>
      </c>
      <c r="E8508" s="3">
        <f>HYPERLINK("https://sao.dolgi.msk.ru/account/1404137067/", 1404137067)</f>
        <v>1404137067</v>
      </c>
      <c r="F8508">
        <v>-6631.2</v>
      </c>
    </row>
    <row r="8509" spans="1:6" hidden="1" x14ac:dyDescent="0.25">
      <c r="A8509" t="s">
        <v>686</v>
      </c>
      <c r="B8509" t="s">
        <v>146</v>
      </c>
      <c r="E8509" s="3">
        <f>HYPERLINK("https://sao.dolgi.msk.ru/account/1404136419/", 1404136419)</f>
        <v>1404136419</v>
      </c>
      <c r="F8509">
        <v>0</v>
      </c>
    </row>
    <row r="8510" spans="1:6" hidden="1" x14ac:dyDescent="0.25">
      <c r="A8510" t="s">
        <v>686</v>
      </c>
      <c r="B8510" t="s">
        <v>147</v>
      </c>
      <c r="E8510" s="3">
        <f>HYPERLINK("https://sao.dolgi.msk.ru/account/1404135766/", 1404135766)</f>
        <v>1404135766</v>
      </c>
      <c r="F8510">
        <v>-3814.21</v>
      </c>
    </row>
    <row r="8511" spans="1:6" hidden="1" x14ac:dyDescent="0.25">
      <c r="A8511" t="s">
        <v>686</v>
      </c>
      <c r="B8511" t="s">
        <v>148</v>
      </c>
      <c r="E8511" s="3">
        <f>HYPERLINK("https://sao.dolgi.msk.ru/account/1404136013/", 1404136013)</f>
        <v>1404136013</v>
      </c>
      <c r="F8511">
        <v>-3160.1</v>
      </c>
    </row>
    <row r="8512" spans="1:6" hidden="1" x14ac:dyDescent="0.25">
      <c r="A8512" t="s">
        <v>686</v>
      </c>
      <c r="B8512" t="s">
        <v>149</v>
      </c>
      <c r="E8512" s="3">
        <f>HYPERLINK("https://sao.dolgi.msk.ru/account/1404136312/", 1404136312)</f>
        <v>1404136312</v>
      </c>
      <c r="F8512">
        <v>-2848.68</v>
      </c>
    </row>
    <row r="8513" spans="1:6" hidden="1" x14ac:dyDescent="0.25">
      <c r="A8513" t="s">
        <v>686</v>
      </c>
      <c r="B8513" t="s">
        <v>150</v>
      </c>
      <c r="E8513" s="3">
        <f>HYPERLINK("https://sao.dolgi.msk.ru/account/1404136232/", 1404136232)</f>
        <v>1404136232</v>
      </c>
      <c r="F8513">
        <v>-399.74</v>
      </c>
    </row>
    <row r="8514" spans="1:6" hidden="1" x14ac:dyDescent="0.25">
      <c r="A8514" t="s">
        <v>686</v>
      </c>
      <c r="B8514" t="s">
        <v>151</v>
      </c>
      <c r="E8514" s="3">
        <f>HYPERLINK("https://sao.dolgi.msk.ru/account/1404135926/", 1404135926)</f>
        <v>1404135926</v>
      </c>
      <c r="F8514">
        <v>-1188.78</v>
      </c>
    </row>
    <row r="8515" spans="1:6" hidden="1" x14ac:dyDescent="0.25">
      <c r="A8515" t="s">
        <v>687</v>
      </c>
      <c r="B8515" t="s">
        <v>5</v>
      </c>
      <c r="E8515" s="3">
        <f>HYPERLINK("https://sao.dolgi.msk.ru/account/1404172532/", 1404172532)</f>
        <v>1404172532</v>
      </c>
      <c r="F8515">
        <v>-380.27</v>
      </c>
    </row>
    <row r="8516" spans="1:6" x14ac:dyDescent="0.25">
      <c r="A8516" t="s">
        <v>687</v>
      </c>
      <c r="B8516" t="s">
        <v>6</v>
      </c>
      <c r="C8516" s="5" t="str">
        <f t="shared" ref="C8516:C8517" si="359">" кв. "&amp;B8516</f>
        <v xml:space="preserve"> кв. 2</v>
      </c>
      <c r="D8516" s="5" t="str">
        <f>CONCATENATE(A8516,C8516)</f>
        <v>Ленинградское шоссе, дом 128 к.2 кв. 2</v>
      </c>
      <c r="E8516" s="3">
        <f>HYPERLINK("https://sao.dolgi.msk.ru/account/1404172241/", 1404172241)</f>
        <v>1404172241</v>
      </c>
      <c r="F8516">
        <v>18595.62</v>
      </c>
    </row>
    <row r="8517" spans="1:6" x14ac:dyDescent="0.25">
      <c r="A8517" t="s">
        <v>687</v>
      </c>
      <c r="B8517" t="s">
        <v>7</v>
      </c>
      <c r="C8517" s="5" t="str">
        <f t="shared" si="359"/>
        <v xml:space="preserve"> кв. 3</v>
      </c>
      <c r="D8517" s="5" t="str">
        <f>CONCATENATE(A8517,C8517)</f>
        <v>Ленинградское шоссе, дом 128 к.2 кв. 3</v>
      </c>
      <c r="E8517" s="3">
        <f>HYPERLINK("https://sao.dolgi.msk.ru/account/1404172751/", 1404172751)</f>
        <v>1404172751</v>
      </c>
      <c r="F8517">
        <v>23172.55</v>
      </c>
    </row>
    <row r="8518" spans="1:6" hidden="1" x14ac:dyDescent="0.25">
      <c r="A8518" t="s">
        <v>687</v>
      </c>
      <c r="B8518" t="s">
        <v>8</v>
      </c>
      <c r="E8518" s="3">
        <f>HYPERLINK("https://sao.dolgi.msk.ru/account/1404172399/", 1404172399)</f>
        <v>1404172399</v>
      </c>
      <c r="F8518">
        <v>0</v>
      </c>
    </row>
    <row r="8519" spans="1:6" x14ac:dyDescent="0.25">
      <c r="A8519" t="s">
        <v>687</v>
      </c>
      <c r="B8519" t="s">
        <v>9</v>
      </c>
      <c r="C8519" s="5" t="str">
        <f>" кв. "&amp;B8519</f>
        <v xml:space="preserve"> кв. 5</v>
      </c>
      <c r="D8519" s="5" t="str">
        <f>CONCATENATE(A8519,C8519)</f>
        <v>Ленинградское шоссе, дом 128 к.2 кв. 5</v>
      </c>
      <c r="E8519" s="3">
        <f>HYPERLINK("https://sao.dolgi.msk.ru/account/1404172698/", 1404172698)</f>
        <v>1404172698</v>
      </c>
      <c r="F8519">
        <v>23953.13</v>
      </c>
    </row>
    <row r="8520" spans="1:6" hidden="1" x14ac:dyDescent="0.25">
      <c r="A8520" t="s">
        <v>687</v>
      </c>
      <c r="B8520" t="s">
        <v>10</v>
      </c>
      <c r="E8520" s="3">
        <f>HYPERLINK("https://sao.dolgi.msk.ru/account/1404172444/", 1404172444)</f>
        <v>1404172444</v>
      </c>
      <c r="F8520">
        <v>-13145.25</v>
      </c>
    </row>
    <row r="8521" spans="1:6" x14ac:dyDescent="0.25">
      <c r="A8521" t="s">
        <v>687</v>
      </c>
      <c r="B8521" t="s">
        <v>11</v>
      </c>
      <c r="C8521" s="5" t="str">
        <f>" кв. "&amp;B8521</f>
        <v xml:space="preserve"> кв. 7</v>
      </c>
      <c r="D8521" s="5" t="str">
        <f>CONCATENATE(A8521,C8521)</f>
        <v>Ленинградское шоссе, дом 128 к.2 кв. 7</v>
      </c>
      <c r="E8521" s="3">
        <f>HYPERLINK("https://sao.dolgi.msk.ru/account/1404172452/", 1404172452)</f>
        <v>1404172452</v>
      </c>
      <c r="F8521">
        <v>11349.41</v>
      </c>
    </row>
    <row r="8522" spans="1:6" hidden="1" x14ac:dyDescent="0.25">
      <c r="A8522" t="s">
        <v>687</v>
      </c>
      <c r="B8522" t="s">
        <v>12</v>
      </c>
      <c r="E8522" s="3">
        <f>HYPERLINK("https://sao.dolgi.msk.ru/account/1404172479/", 1404172479)</f>
        <v>1404172479</v>
      </c>
      <c r="F8522">
        <v>-11144.43</v>
      </c>
    </row>
    <row r="8523" spans="1:6" x14ac:dyDescent="0.25">
      <c r="A8523" t="s">
        <v>687</v>
      </c>
      <c r="B8523" t="s">
        <v>13</v>
      </c>
      <c r="C8523" s="5" t="str">
        <f t="shared" ref="C8523:C8527" si="360">" кв. "&amp;B8523</f>
        <v xml:space="preserve"> кв. 9</v>
      </c>
      <c r="D8523" s="5" t="str">
        <f>CONCATENATE(A8523,C8523)</f>
        <v>Ленинградское шоссе, дом 128 к.2 кв. 9</v>
      </c>
      <c r="E8523" s="3">
        <f>HYPERLINK("https://sao.dolgi.msk.ru/account/1404172487/", 1404172487)</f>
        <v>1404172487</v>
      </c>
      <c r="F8523">
        <v>16343.84</v>
      </c>
    </row>
    <row r="8524" spans="1:6" x14ac:dyDescent="0.25">
      <c r="A8524" t="s">
        <v>687</v>
      </c>
      <c r="B8524" t="s">
        <v>14</v>
      </c>
      <c r="C8524" s="5" t="str">
        <f t="shared" si="360"/>
        <v xml:space="preserve"> кв. 10</v>
      </c>
      <c r="D8524" s="5" t="str">
        <f>CONCATENATE(A8524,C8524)</f>
        <v>Ленинградское шоссе, дом 128 к.2 кв. 10</v>
      </c>
      <c r="E8524" s="3">
        <f>HYPERLINK("https://sao.dolgi.msk.ru/account/1404172495/", 1404172495)</f>
        <v>1404172495</v>
      </c>
      <c r="F8524">
        <v>24768.43</v>
      </c>
    </row>
    <row r="8525" spans="1:6" x14ac:dyDescent="0.25">
      <c r="A8525" t="s">
        <v>687</v>
      </c>
      <c r="B8525" t="s">
        <v>15</v>
      </c>
      <c r="C8525" s="5" t="str">
        <f t="shared" si="360"/>
        <v xml:space="preserve"> кв. 11</v>
      </c>
      <c r="D8525" s="5" t="str">
        <f>CONCATENATE(A8525,C8525)</f>
        <v>Ленинградское шоссе, дом 128 к.2 кв. 11</v>
      </c>
      <c r="E8525" s="3">
        <f>HYPERLINK("https://sao.dolgi.msk.ru/account/1404172786/", 1404172786)</f>
        <v>1404172786</v>
      </c>
      <c r="F8525">
        <v>23189.89</v>
      </c>
    </row>
    <row r="8526" spans="1:6" x14ac:dyDescent="0.25">
      <c r="A8526" t="s">
        <v>687</v>
      </c>
      <c r="B8526" t="s">
        <v>16</v>
      </c>
      <c r="C8526" s="5" t="str">
        <f t="shared" si="360"/>
        <v xml:space="preserve"> кв. 12</v>
      </c>
      <c r="D8526" s="5" t="str">
        <f>CONCATENATE(A8526,C8526)</f>
        <v>Ленинградское шоссе, дом 128 к.2 кв. 12</v>
      </c>
      <c r="E8526" s="3">
        <f>HYPERLINK("https://sao.dolgi.msk.ru/account/1404172284/", 1404172284)</f>
        <v>1404172284</v>
      </c>
      <c r="F8526">
        <v>20639.93</v>
      </c>
    </row>
    <row r="8527" spans="1:6" x14ac:dyDescent="0.25">
      <c r="A8527" t="s">
        <v>687</v>
      </c>
      <c r="B8527" t="s">
        <v>17</v>
      </c>
      <c r="C8527" s="5" t="str">
        <f t="shared" si="360"/>
        <v xml:space="preserve"> кв. 13</v>
      </c>
      <c r="D8527" s="5" t="str">
        <f>CONCATENATE(A8527,C8527)</f>
        <v>Ленинградское шоссе, дом 128 к.2 кв. 13</v>
      </c>
      <c r="E8527" s="3">
        <f>HYPERLINK("https://sao.dolgi.msk.ru/account/1404172575/", 1404172575)</f>
        <v>1404172575</v>
      </c>
      <c r="F8527">
        <v>42194.09</v>
      </c>
    </row>
    <row r="8528" spans="1:6" hidden="1" x14ac:dyDescent="0.25">
      <c r="A8528" t="s">
        <v>687</v>
      </c>
      <c r="B8528" t="s">
        <v>18</v>
      </c>
      <c r="E8528" s="3">
        <f>HYPERLINK("https://sao.dolgi.msk.ru/account/1404172583/", 1404172583)</f>
        <v>1404172583</v>
      </c>
      <c r="F8528">
        <v>-5008.9799999999996</v>
      </c>
    </row>
    <row r="8529" spans="1:6" x14ac:dyDescent="0.25">
      <c r="A8529" t="s">
        <v>687</v>
      </c>
      <c r="B8529" t="s">
        <v>19</v>
      </c>
      <c r="C8529" s="5" t="str">
        <f t="shared" ref="C8529:C8530" si="361">" кв. "&amp;B8529</f>
        <v xml:space="preserve"> кв. 15</v>
      </c>
      <c r="D8529" s="5" t="str">
        <f>CONCATENATE(A8529,C8529)</f>
        <v>Ленинградское шоссе, дом 128 к.2 кв. 15</v>
      </c>
      <c r="E8529" s="3">
        <f>HYPERLINK("https://sao.dolgi.msk.ru/account/1404172508/", 1404172508)</f>
        <v>1404172508</v>
      </c>
      <c r="F8529">
        <v>23207.23</v>
      </c>
    </row>
    <row r="8530" spans="1:6" x14ac:dyDescent="0.25">
      <c r="A8530" t="s">
        <v>687</v>
      </c>
      <c r="B8530" t="s">
        <v>20</v>
      </c>
      <c r="C8530" s="5" t="str">
        <f t="shared" si="361"/>
        <v xml:space="preserve"> кв. 16</v>
      </c>
      <c r="D8530" s="5" t="str">
        <f>CONCATENATE(A8530,C8530)</f>
        <v>Ленинградское шоссе, дом 128 к.2 кв. 16</v>
      </c>
      <c r="E8530" s="3">
        <f>HYPERLINK("https://sao.dolgi.msk.ru/account/1404172292/", 1404172292)</f>
        <v>1404172292</v>
      </c>
      <c r="F8530">
        <v>32864.18</v>
      </c>
    </row>
    <row r="8531" spans="1:6" hidden="1" x14ac:dyDescent="0.25">
      <c r="A8531" t="s">
        <v>687</v>
      </c>
      <c r="B8531" t="s">
        <v>21</v>
      </c>
      <c r="E8531" s="3">
        <f>HYPERLINK("https://sao.dolgi.msk.ru/account/1404172807/", 1404172807)</f>
        <v>1404172807</v>
      </c>
      <c r="F8531">
        <v>0</v>
      </c>
    </row>
    <row r="8532" spans="1:6" x14ac:dyDescent="0.25">
      <c r="A8532" t="s">
        <v>687</v>
      </c>
      <c r="B8532" t="s">
        <v>22</v>
      </c>
      <c r="C8532" s="5" t="str">
        <f>" кв. "&amp;B8532</f>
        <v xml:space="preserve"> кв. 18</v>
      </c>
      <c r="D8532" s="5" t="str">
        <f>CONCATENATE(A8532,C8532)</f>
        <v>Ленинградское шоссе, дом 128 к.2 кв. 18</v>
      </c>
      <c r="E8532" s="3">
        <f>HYPERLINK("https://sao.dolgi.msk.ru/account/1404172823/", 1404172823)</f>
        <v>1404172823</v>
      </c>
      <c r="F8532">
        <v>669.28</v>
      </c>
    </row>
    <row r="8533" spans="1:6" hidden="1" x14ac:dyDescent="0.25">
      <c r="A8533" t="s">
        <v>687</v>
      </c>
      <c r="B8533" t="s">
        <v>23</v>
      </c>
      <c r="E8533" s="3">
        <f>HYPERLINK("https://sao.dolgi.msk.ru/account/1404172612/", 1404172612)</f>
        <v>1404172612</v>
      </c>
      <c r="F8533">
        <v>-12321.02</v>
      </c>
    </row>
    <row r="8534" spans="1:6" x14ac:dyDescent="0.25">
      <c r="A8534" t="s">
        <v>687</v>
      </c>
      <c r="B8534" t="s">
        <v>24</v>
      </c>
      <c r="C8534" s="5" t="str">
        <f t="shared" ref="C8534:C8537" si="362">" кв. "&amp;B8534</f>
        <v xml:space="preserve"> кв. 20</v>
      </c>
      <c r="D8534" s="5" t="str">
        <f>CONCATENATE(A8534,C8534)</f>
        <v>Ленинградское шоссе, дом 128 к.2 кв. 20</v>
      </c>
      <c r="E8534" s="3">
        <f>HYPERLINK("https://sao.dolgi.msk.ru/account/1404172313/", 1404172313)</f>
        <v>1404172313</v>
      </c>
      <c r="F8534">
        <v>38863.51</v>
      </c>
    </row>
    <row r="8535" spans="1:6" x14ac:dyDescent="0.25">
      <c r="A8535" t="s">
        <v>687</v>
      </c>
      <c r="B8535" t="s">
        <v>25</v>
      </c>
      <c r="C8535" s="5" t="str">
        <f t="shared" si="362"/>
        <v xml:space="preserve"> кв. 21</v>
      </c>
      <c r="D8535" s="5" t="str">
        <f>CONCATENATE(A8535,C8535)</f>
        <v>Ленинградское шоссе, дом 128 к.2 кв. 21</v>
      </c>
      <c r="E8535" s="3">
        <f>HYPERLINK("https://sao.dolgi.msk.ru/account/1404172356/", 1404172356)</f>
        <v>1404172356</v>
      </c>
      <c r="F8535">
        <v>14017.71</v>
      </c>
    </row>
    <row r="8536" spans="1:6" x14ac:dyDescent="0.25">
      <c r="A8536" t="s">
        <v>687</v>
      </c>
      <c r="B8536" t="s">
        <v>26</v>
      </c>
      <c r="C8536" s="5" t="str">
        <f t="shared" si="362"/>
        <v xml:space="preserve"> кв. 22</v>
      </c>
      <c r="D8536" s="5" t="str">
        <f>CONCATENATE(A8536,C8536)</f>
        <v>Ленинградское шоссе, дом 128 к.2 кв. 22</v>
      </c>
      <c r="E8536" s="3">
        <f>HYPERLINK("https://sao.dolgi.msk.ru/account/1404172815/", 1404172815)</f>
        <v>1404172815</v>
      </c>
      <c r="F8536">
        <v>42749.19</v>
      </c>
    </row>
    <row r="8537" spans="1:6" x14ac:dyDescent="0.25">
      <c r="A8537" t="s">
        <v>687</v>
      </c>
      <c r="B8537" t="s">
        <v>27</v>
      </c>
      <c r="C8537" s="5" t="str">
        <f t="shared" si="362"/>
        <v xml:space="preserve"> кв. 23</v>
      </c>
      <c r="D8537" s="5" t="str">
        <f>CONCATENATE(A8537,C8537)</f>
        <v>Ленинградское шоссе, дом 128 к.2 кв. 23</v>
      </c>
      <c r="E8537" s="3">
        <f>HYPERLINK("https://sao.dolgi.msk.ru/account/1404172364/", 1404172364)</f>
        <v>1404172364</v>
      </c>
      <c r="F8537">
        <v>29206.57</v>
      </c>
    </row>
    <row r="8538" spans="1:6" hidden="1" x14ac:dyDescent="0.25">
      <c r="A8538" t="s">
        <v>687</v>
      </c>
      <c r="B8538" t="s">
        <v>28</v>
      </c>
      <c r="E8538" s="3">
        <f>HYPERLINK("https://sao.dolgi.msk.ru/account/1404172516/", 1404172516)</f>
        <v>1404172516</v>
      </c>
      <c r="F8538">
        <v>-4444.25</v>
      </c>
    </row>
    <row r="8539" spans="1:6" hidden="1" x14ac:dyDescent="0.25">
      <c r="A8539" t="s">
        <v>687</v>
      </c>
      <c r="B8539" t="s">
        <v>29</v>
      </c>
      <c r="E8539" s="3">
        <f>HYPERLINK("https://sao.dolgi.msk.ru/account/1404172735/", 1404172735)</f>
        <v>1404172735</v>
      </c>
      <c r="F8539">
        <v>0</v>
      </c>
    </row>
    <row r="8540" spans="1:6" x14ac:dyDescent="0.25">
      <c r="A8540" t="s">
        <v>687</v>
      </c>
      <c r="B8540" t="s">
        <v>30</v>
      </c>
      <c r="C8540" s="5" t="str">
        <f>" кв. "&amp;B8540</f>
        <v xml:space="preserve"> кв. 26</v>
      </c>
      <c r="D8540" s="5" t="str">
        <f>CONCATENATE(A8540,C8540)</f>
        <v>Ленинградское шоссе, дом 128 к.2 кв. 26</v>
      </c>
      <c r="E8540" s="3">
        <f>HYPERLINK("https://sao.dolgi.msk.ru/account/1404173201/", 1404173201)</f>
        <v>1404173201</v>
      </c>
      <c r="F8540">
        <v>30681.05</v>
      </c>
    </row>
    <row r="8541" spans="1:6" hidden="1" x14ac:dyDescent="0.25">
      <c r="A8541" t="s">
        <v>687</v>
      </c>
      <c r="B8541" t="s">
        <v>31</v>
      </c>
      <c r="E8541" s="3">
        <f>HYPERLINK("https://sao.dolgi.msk.ru/account/1404174132/", 1404174132)</f>
        <v>1404174132</v>
      </c>
      <c r="F8541">
        <v>-28649.13</v>
      </c>
    </row>
    <row r="8542" spans="1:6" x14ac:dyDescent="0.25">
      <c r="A8542" t="s">
        <v>687</v>
      </c>
      <c r="B8542" t="s">
        <v>32</v>
      </c>
      <c r="C8542" s="5" t="str">
        <f>" кв. "&amp;B8542</f>
        <v xml:space="preserve"> кв. 28</v>
      </c>
      <c r="D8542" s="5" t="str">
        <f>CONCATENATE(A8542,C8542)</f>
        <v>Ленинградское шоссе, дом 128 к.2 кв. 28</v>
      </c>
      <c r="E8542" s="3">
        <f>HYPERLINK("https://sao.dolgi.msk.ru/account/1404173228/", 1404173228)</f>
        <v>1404173228</v>
      </c>
      <c r="F8542">
        <v>38828.85</v>
      </c>
    </row>
    <row r="8543" spans="1:6" hidden="1" x14ac:dyDescent="0.25">
      <c r="A8543" t="s">
        <v>687</v>
      </c>
      <c r="B8543" t="s">
        <v>33</v>
      </c>
      <c r="E8543" s="3">
        <f>HYPERLINK("https://sao.dolgi.msk.ru/account/1404173017/", 1404173017)</f>
        <v>1404173017</v>
      </c>
      <c r="F8543">
        <v>-7870.36</v>
      </c>
    </row>
    <row r="8544" spans="1:6" x14ac:dyDescent="0.25">
      <c r="A8544" t="s">
        <v>687</v>
      </c>
      <c r="B8544" t="s">
        <v>34</v>
      </c>
      <c r="C8544" s="5" t="str">
        <f t="shared" ref="C8544:C8549" si="363">" кв. "&amp;B8544</f>
        <v xml:space="preserve"> кв. 30</v>
      </c>
      <c r="D8544" s="5" t="str">
        <f>CONCATENATE(A8544,C8544)</f>
        <v>Ленинградское шоссе, дом 128 к.2 кв. 30</v>
      </c>
      <c r="E8544" s="3">
        <f>HYPERLINK("https://sao.dolgi.msk.ru/account/1404173236/", 1404173236)</f>
        <v>1404173236</v>
      </c>
      <c r="F8544">
        <v>48939.35</v>
      </c>
    </row>
    <row r="8545" spans="1:6" x14ac:dyDescent="0.25">
      <c r="A8545" t="s">
        <v>687</v>
      </c>
      <c r="B8545" t="s">
        <v>35</v>
      </c>
      <c r="C8545" s="5" t="str">
        <f t="shared" si="363"/>
        <v xml:space="preserve"> кв. 31</v>
      </c>
      <c r="D8545" s="5" t="str">
        <f>CONCATENATE(A8545,C8545)</f>
        <v>Ленинградское шоссе, дом 128 к.2 кв. 31</v>
      </c>
      <c r="E8545" s="3">
        <f>HYPERLINK("https://sao.dolgi.msk.ru/account/1404173244/", 1404173244)</f>
        <v>1404173244</v>
      </c>
      <c r="F8545">
        <v>23137.85</v>
      </c>
    </row>
    <row r="8546" spans="1:6" x14ac:dyDescent="0.25">
      <c r="A8546" t="s">
        <v>687</v>
      </c>
      <c r="B8546" t="s">
        <v>36</v>
      </c>
      <c r="C8546" s="5" t="str">
        <f t="shared" si="363"/>
        <v xml:space="preserve"> кв. 32</v>
      </c>
      <c r="D8546" s="5" t="str">
        <f>CONCATENATE(A8546,C8546)</f>
        <v>Ленинградское шоссе, дом 128 к.2 кв. 32</v>
      </c>
      <c r="E8546" s="3">
        <f>HYPERLINK("https://sao.dolgi.msk.ru/account/1404173113/", 1404173113)</f>
        <v>1404173113</v>
      </c>
      <c r="F8546">
        <v>38932.93</v>
      </c>
    </row>
    <row r="8547" spans="1:6" x14ac:dyDescent="0.25">
      <c r="A8547" t="s">
        <v>687</v>
      </c>
      <c r="B8547" t="s">
        <v>37</v>
      </c>
      <c r="C8547" s="5" t="str">
        <f t="shared" si="363"/>
        <v xml:space="preserve"> кв. 33</v>
      </c>
      <c r="D8547" s="5" t="str">
        <f>CONCATENATE(A8547,C8547)</f>
        <v>Ленинградское шоссе, дом 128 к.2 кв. 33</v>
      </c>
      <c r="E8547" s="3">
        <f>HYPERLINK("https://sao.dolgi.msk.ru/account/1404173121/", 1404173121)</f>
        <v>1404173121</v>
      </c>
      <c r="F8547">
        <v>42176.75</v>
      </c>
    </row>
    <row r="8548" spans="1:6" x14ac:dyDescent="0.25">
      <c r="A8548" t="s">
        <v>687</v>
      </c>
      <c r="B8548" t="s">
        <v>38</v>
      </c>
      <c r="C8548" s="5" t="str">
        <f t="shared" si="363"/>
        <v xml:space="preserve"> кв. 34</v>
      </c>
      <c r="D8548" s="5" t="str">
        <f>CONCATENATE(A8548,C8548)</f>
        <v>Ленинградское шоссе, дом 128 к.2 кв. 34</v>
      </c>
      <c r="E8548" s="3">
        <f>HYPERLINK("https://sao.dolgi.msk.ru/account/1404172954/", 1404172954)</f>
        <v>1404172954</v>
      </c>
      <c r="F8548">
        <v>10172.780000000001</v>
      </c>
    </row>
    <row r="8549" spans="1:6" x14ac:dyDescent="0.25">
      <c r="A8549" t="s">
        <v>687</v>
      </c>
      <c r="B8549" t="s">
        <v>39</v>
      </c>
      <c r="C8549" s="5" t="str">
        <f t="shared" si="363"/>
        <v xml:space="preserve"> кв. 35</v>
      </c>
      <c r="D8549" s="5" t="str">
        <f>CONCATENATE(A8549,C8549)</f>
        <v>Ленинградское шоссе, дом 128 к.2 кв. 35</v>
      </c>
      <c r="E8549" s="3">
        <f>HYPERLINK("https://sao.dolgi.msk.ru/account/1404173156/", 1404173156)</f>
        <v>1404173156</v>
      </c>
      <c r="F8549">
        <v>23241.93</v>
      </c>
    </row>
    <row r="8550" spans="1:6" hidden="1" x14ac:dyDescent="0.25">
      <c r="A8550" t="s">
        <v>687</v>
      </c>
      <c r="B8550" t="s">
        <v>40</v>
      </c>
      <c r="E8550" s="3">
        <f>HYPERLINK("https://sao.dolgi.msk.ru/account/1404173252/", 1404173252)</f>
        <v>1404173252</v>
      </c>
      <c r="F8550">
        <v>0</v>
      </c>
    </row>
    <row r="8551" spans="1:6" x14ac:dyDescent="0.25">
      <c r="A8551" t="s">
        <v>687</v>
      </c>
      <c r="B8551" t="s">
        <v>41</v>
      </c>
      <c r="C8551" s="5" t="str">
        <f t="shared" ref="C8551:C8553" si="364">" кв. "&amp;B8551</f>
        <v xml:space="preserve"> кв. 37</v>
      </c>
      <c r="D8551" s="5" t="str">
        <f>CONCATENATE(A8551,C8551)</f>
        <v>Ленинградское шоссе, дом 128 к.2 кв. 37</v>
      </c>
      <c r="E8551" s="3">
        <f>HYPERLINK("https://sao.dolgi.msk.ru/account/1404173164/", 1404173164)</f>
        <v>1404173164</v>
      </c>
      <c r="F8551">
        <v>42124.71</v>
      </c>
    </row>
    <row r="8552" spans="1:6" x14ac:dyDescent="0.25">
      <c r="A8552" t="s">
        <v>687</v>
      </c>
      <c r="B8552" t="s">
        <v>42</v>
      </c>
      <c r="C8552" s="5" t="str">
        <f t="shared" si="364"/>
        <v xml:space="preserve"> кв. 38</v>
      </c>
      <c r="D8552" s="5" t="str">
        <f>CONCATENATE(A8552,C8552)</f>
        <v>Ленинградское шоссе, дом 128 к.2 кв. 38</v>
      </c>
      <c r="E8552" s="3">
        <f>HYPERLINK("https://sao.dolgi.msk.ru/account/1404173025/", 1404173025)</f>
        <v>1404173025</v>
      </c>
      <c r="F8552">
        <v>54956.05</v>
      </c>
    </row>
    <row r="8553" spans="1:6" x14ac:dyDescent="0.25">
      <c r="A8553" t="s">
        <v>687</v>
      </c>
      <c r="B8553" t="s">
        <v>43</v>
      </c>
      <c r="C8553" s="5" t="str">
        <f t="shared" si="364"/>
        <v xml:space="preserve"> кв. 39</v>
      </c>
      <c r="D8553" s="5" t="str">
        <f>CONCATENATE(A8553,C8553)</f>
        <v>Ленинградское шоссе, дом 128 к.2 кв. 39</v>
      </c>
      <c r="E8553" s="3">
        <f>HYPERLINK("https://sao.dolgi.msk.ru/account/1404172962/", 1404172962)</f>
        <v>1404172962</v>
      </c>
      <c r="F8553">
        <v>23155.21</v>
      </c>
    </row>
    <row r="8554" spans="1:6" hidden="1" x14ac:dyDescent="0.25">
      <c r="A8554" t="s">
        <v>687</v>
      </c>
      <c r="B8554" t="s">
        <v>44</v>
      </c>
      <c r="E8554" s="3">
        <f>HYPERLINK("https://sao.dolgi.msk.ru/account/1404173033/", 1404173033)</f>
        <v>1404173033</v>
      </c>
      <c r="F8554">
        <v>-10344.049999999999</v>
      </c>
    </row>
    <row r="8555" spans="1:6" x14ac:dyDescent="0.25">
      <c r="A8555" t="s">
        <v>687</v>
      </c>
      <c r="B8555" t="s">
        <v>45</v>
      </c>
      <c r="C8555" s="5" t="str">
        <f t="shared" ref="C8555:C8558" si="365">" кв. "&amp;B8555</f>
        <v xml:space="preserve"> кв. 41</v>
      </c>
      <c r="D8555" s="5" t="str">
        <f>CONCATENATE(A8555,C8555)</f>
        <v>Ленинградское шоссе, дом 128 к.2 кв. 41</v>
      </c>
      <c r="E8555" s="3">
        <f>HYPERLINK("https://sao.dolgi.msk.ru/account/1404173172/", 1404173172)</f>
        <v>1404173172</v>
      </c>
      <c r="F8555">
        <v>42142.03</v>
      </c>
    </row>
    <row r="8556" spans="1:6" x14ac:dyDescent="0.25">
      <c r="A8556" t="s">
        <v>687</v>
      </c>
      <c r="B8556" t="s">
        <v>46</v>
      </c>
      <c r="C8556" s="5" t="str">
        <f t="shared" si="365"/>
        <v xml:space="preserve"> кв. 42</v>
      </c>
      <c r="D8556" s="5" t="str">
        <f>CONCATENATE(A8556,C8556)</f>
        <v>Ленинградское шоссе, дом 128 к.2 кв. 42</v>
      </c>
      <c r="E8556" s="3">
        <f>HYPERLINK("https://sao.dolgi.msk.ru/account/1404173092/", 1404173092)</f>
        <v>1404173092</v>
      </c>
      <c r="F8556">
        <v>24490.91</v>
      </c>
    </row>
    <row r="8557" spans="1:6" x14ac:dyDescent="0.25">
      <c r="A8557" t="s">
        <v>687</v>
      </c>
      <c r="B8557" t="s">
        <v>47</v>
      </c>
      <c r="C8557" s="5" t="str">
        <f t="shared" si="365"/>
        <v xml:space="preserve"> кв. 43</v>
      </c>
      <c r="D8557" s="5" t="str">
        <f>CONCATENATE(A8557,C8557)</f>
        <v>Ленинградское шоссе, дом 128 к.2 кв. 43</v>
      </c>
      <c r="E8557" s="3">
        <f>HYPERLINK("https://sao.dolgi.msk.ru/account/1404173041/", 1404173041)</f>
        <v>1404173041</v>
      </c>
      <c r="F8557">
        <v>11837.52</v>
      </c>
    </row>
    <row r="8558" spans="1:6" x14ac:dyDescent="0.25">
      <c r="A8558" t="s">
        <v>687</v>
      </c>
      <c r="B8558" t="s">
        <v>48</v>
      </c>
      <c r="C8558" s="5" t="str">
        <f t="shared" si="365"/>
        <v xml:space="preserve"> кв. 44</v>
      </c>
      <c r="D8558" s="5" t="str">
        <f>CONCATENATE(A8558,C8558)</f>
        <v>Ленинградское шоссе, дом 128 к.2 кв. 44</v>
      </c>
      <c r="E8558" s="3">
        <f>HYPERLINK("https://sao.dolgi.msk.ru/account/1404173009/", 1404173009)</f>
        <v>1404173009</v>
      </c>
      <c r="F8558">
        <v>32760.1</v>
      </c>
    </row>
    <row r="8559" spans="1:6" hidden="1" x14ac:dyDescent="0.25">
      <c r="A8559" t="s">
        <v>687</v>
      </c>
      <c r="B8559" t="s">
        <v>49</v>
      </c>
      <c r="E8559" s="3">
        <f>HYPERLINK("https://sao.dolgi.msk.ru/account/1404173068/", 1404173068)</f>
        <v>1404173068</v>
      </c>
      <c r="F8559">
        <v>-8504.64</v>
      </c>
    </row>
    <row r="8560" spans="1:6" hidden="1" x14ac:dyDescent="0.25">
      <c r="A8560" t="s">
        <v>687</v>
      </c>
      <c r="B8560" t="s">
        <v>50</v>
      </c>
      <c r="E8560" s="3">
        <f>HYPERLINK("https://sao.dolgi.msk.ru/account/1404172997/", 1404172997)</f>
        <v>1404172997</v>
      </c>
      <c r="F8560">
        <v>0</v>
      </c>
    </row>
    <row r="8561" spans="1:6" x14ac:dyDescent="0.25">
      <c r="A8561" t="s">
        <v>687</v>
      </c>
      <c r="B8561" t="s">
        <v>51</v>
      </c>
      <c r="C8561" s="5" t="str">
        <f t="shared" ref="C8561:C8569" si="366">" кв. "&amp;B8561</f>
        <v xml:space="preserve"> кв. 47</v>
      </c>
      <c r="D8561" s="5" t="str">
        <f>CONCATENATE(A8561,C8561)</f>
        <v>Ленинградское шоссе, дом 128 к.2 кв. 47</v>
      </c>
      <c r="E8561" s="3">
        <f>HYPERLINK("https://sao.dolgi.msk.ru/account/1404173105/", 1404173105)</f>
        <v>1404173105</v>
      </c>
      <c r="F8561">
        <v>29223.93</v>
      </c>
    </row>
    <row r="8562" spans="1:6" x14ac:dyDescent="0.25">
      <c r="A8562" t="s">
        <v>687</v>
      </c>
      <c r="B8562" t="s">
        <v>52</v>
      </c>
      <c r="C8562" s="5" t="str">
        <f t="shared" si="366"/>
        <v xml:space="preserve"> кв. 48</v>
      </c>
      <c r="D8562" s="5" t="str">
        <f>CONCATENATE(A8562,C8562)</f>
        <v>Ленинградское шоссе, дом 128 к.2 кв. 48</v>
      </c>
      <c r="E8562" s="3">
        <f>HYPERLINK("https://sao.dolgi.msk.ru/account/1404173076/", 1404173076)</f>
        <v>1404173076</v>
      </c>
      <c r="F8562">
        <v>20587.89</v>
      </c>
    </row>
    <row r="8563" spans="1:6" x14ac:dyDescent="0.25">
      <c r="A8563" t="s">
        <v>687</v>
      </c>
      <c r="B8563" t="s">
        <v>53</v>
      </c>
      <c r="C8563" s="5" t="str">
        <f t="shared" si="366"/>
        <v xml:space="preserve"> кв. 49</v>
      </c>
      <c r="D8563" s="5" t="str">
        <f>CONCATENATE(A8563,C8563)</f>
        <v>Ленинградское шоссе, дом 128 к.2 кв. 49</v>
      </c>
      <c r="E8563" s="3">
        <f>HYPERLINK("https://sao.dolgi.msk.ru/account/1404173084/", 1404173084)</f>
        <v>1404173084</v>
      </c>
      <c r="F8563">
        <v>30397.35</v>
      </c>
    </row>
    <row r="8564" spans="1:6" x14ac:dyDescent="0.25">
      <c r="A8564" t="s">
        <v>687</v>
      </c>
      <c r="B8564" t="s">
        <v>54</v>
      </c>
      <c r="C8564" s="5" t="str">
        <f t="shared" si="366"/>
        <v xml:space="preserve"> кв. 50</v>
      </c>
      <c r="D8564" s="5" t="str">
        <f>CONCATENATE(A8564,C8564)</f>
        <v>Ленинградское шоссе, дом 128 к.2 кв. 50</v>
      </c>
      <c r="E8564" s="3">
        <f>HYPERLINK("https://sao.dolgi.msk.ru/account/1404173199/", 1404173199)</f>
        <v>1404173199</v>
      </c>
      <c r="F8564">
        <v>54817.25</v>
      </c>
    </row>
    <row r="8565" spans="1:6" x14ac:dyDescent="0.25">
      <c r="A8565" t="s">
        <v>687</v>
      </c>
      <c r="B8565" t="s">
        <v>55</v>
      </c>
      <c r="C8565" s="5" t="str">
        <f t="shared" si="366"/>
        <v xml:space="preserve"> кв. 51</v>
      </c>
      <c r="D8565" s="5" t="str">
        <f>CONCATENATE(A8565,C8565)</f>
        <v>Ленинградское шоссе, дом 128 к.2 кв. 51</v>
      </c>
      <c r="E8565" s="3">
        <f>HYPERLINK("https://sao.dolgi.msk.ru/account/1404171775/", 1404171775)</f>
        <v>1404171775</v>
      </c>
      <c r="F8565">
        <v>23259.27</v>
      </c>
    </row>
    <row r="8566" spans="1:6" x14ac:dyDescent="0.25">
      <c r="A8566" t="s">
        <v>687</v>
      </c>
      <c r="B8566" t="s">
        <v>56</v>
      </c>
      <c r="C8566" s="5" t="str">
        <f t="shared" si="366"/>
        <v xml:space="preserve"> кв. 52</v>
      </c>
      <c r="D8566" s="5" t="str">
        <f>CONCATENATE(A8566,C8566)</f>
        <v>Ленинградское шоссе, дом 128 к.2 кв. 52</v>
      </c>
      <c r="E8566" s="3">
        <f>HYPERLINK("https://sao.dolgi.msk.ru/account/1404172225/", 1404172225)</f>
        <v>1404172225</v>
      </c>
      <c r="F8566">
        <v>32708.04</v>
      </c>
    </row>
    <row r="8567" spans="1:6" x14ac:dyDescent="0.25">
      <c r="A8567" t="s">
        <v>687</v>
      </c>
      <c r="B8567" t="s">
        <v>57</v>
      </c>
      <c r="C8567" s="5" t="str">
        <f t="shared" si="366"/>
        <v xml:space="preserve"> кв. 53</v>
      </c>
      <c r="D8567" s="5" t="str">
        <f>CONCATENATE(A8567,C8567)</f>
        <v>Ленинградское шоссе, дом 128 к.2 кв. 53</v>
      </c>
      <c r="E8567" s="3">
        <f>HYPERLINK("https://sao.dolgi.msk.ru/account/1404172233/", 1404172233)</f>
        <v>1404172233</v>
      </c>
      <c r="F8567">
        <v>16865.740000000002</v>
      </c>
    </row>
    <row r="8568" spans="1:6" x14ac:dyDescent="0.25">
      <c r="A8568" t="s">
        <v>687</v>
      </c>
      <c r="B8568" t="s">
        <v>58</v>
      </c>
      <c r="C8568" s="5" t="str">
        <f t="shared" si="366"/>
        <v xml:space="preserve"> кв. 54</v>
      </c>
      <c r="D8568" s="5" t="str">
        <f>CONCATENATE(A8568,C8568)</f>
        <v>Ленинградское шоссе, дом 128 к.2 кв. 54</v>
      </c>
      <c r="E8568" s="3">
        <f>HYPERLINK("https://sao.dolgi.msk.ru/account/1404172209/", 1404172209)</f>
        <v>1404172209</v>
      </c>
      <c r="F8568">
        <v>24612.33</v>
      </c>
    </row>
    <row r="8569" spans="1:6" x14ac:dyDescent="0.25">
      <c r="A8569" t="s">
        <v>687</v>
      </c>
      <c r="B8569" t="s">
        <v>59</v>
      </c>
      <c r="C8569" s="5" t="str">
        <f t="shared" si="366"/>
        <v xml:space="preserve"> кв. 55</v>
      </c>
      <c r="D8569" s="5" t="str">
        <f>CONCATENATE(A8569,C8569)</f>
        <v>Ленинградское шоссе, дом 128 к.2 кв. 55</v>
      </c>
      <c r="E8569" s="3">
        <f>HYPERLINK("https://sao.dolgi.msk.ru/account/1404171943/", 1404171943)</f>
        <v>1404171943</v>
      </c>
      <c r="F8569">
        <v>35188.620000000003</v>
      </c>
    </row>
    <row r="8570" spans="1:6" hidden="1" x14ac:dyDescent="0.25">
      <c r="A8570" t="s">
        <v>687</v>
      </c>
      <c r="B8570" t="s">
        <v>60</v>
      </c>
      <c r="E8570" s="3">
        <f>HYPERLINK("https://sao.dolgi.msk.ru/account/1404171935/", 1404171935)</f>
        <v>1404171935</v>
      </c>
      <c r="F8570">
        <v>-1605.65</v>
      </c>
    </row>
    <row r="8571" spans="1:6" x14ac:dyDescent="0.25">
      <c r="A8571" t="s">
        <v>687</v>
      </c>
      <c r="B8571" t="s">
        <v>61</v>
      </c>
      <c r="C8571" s="5" t="str">
        <f t="shared" ref="C8571:C8574" si="367">" кв. "&amp;B8571</f>
        <v xml:space="preserve"> кв. 57</v>
      </c>
      <c r="D8571" s="5" t="str">
        <f>CONCATENATE(A8571,C8571)</f>
        <v>Ленинградское шоссе, дом 128 к.2 кв. 57</v>
      </c>
      <c r="E8571" s="3">
        <f>HYPERLINK("https://sao.dolgi.msk.ru/account/1404171978/", 1404171978)</f>
        <v>1404171978</v>
      </c>
      <c r="F8571">
        <v>29865.77</v>
      </c>
    </row>
    <row r="8572" spans="1:6" x14ac:dyDescent="0.25">
      <c r="A8572" t="s">
        <v>687</v>
      </c>
      <c r="B8572" t="s">
        <v>62</v>
      </c>
      <c r="C8572" s="5" t="str">
        <f t="shared" si="367"/>
        <v xml:space="preserve"> кв. 58</v>
      </c>
      <c r="D8572" s="5" t="str">
        <f>CONCATENATE(A8572,C8572)</f>
        <v>Ленинградское шоссе, дом 128 к.2 кв. 58</v>
      </c>
      <c r="E8572" s="3">
        <f>HYPERLINK("https://sao.dolgi.msk.ru/account/1404171804/", 1404171804)</f>
        <v>1404171804</v>
      </c>
      <c r="F8572">
        <v>18612.96</v>
      </c>
    </row>
    <row r="8573" spans="1:6" x14ac:dyDescent="0.25">
      <c r="A8573" t="s">
        <v>687</v>
      </c>
      <c r="B8573" t="s">
        <v>63</v>
      </c>
      <c r="C8573" s="5" t="str">
        <f t="shared" si="367"/>
        <v xml:space="preserve"> кв. 59</v>
      </c>
      <c r="D8573" s="5" t="str">
        <f>CONCATENATE(A8573,C8573)</f>
        <v>Ленинградское шоссе, дом 128 к.2 кв. 59</v>
      </c>
      <c r="E8573" s="3">
        <f>HYPERLINK("https://sao.dolgi.msk.ru/account/1404171986/", 1404171986)</f>
        <v>1404171986</v>
      </c>
      <c r="F8573">
        <v>11790.38</v>
      </c>
    </row>
    <row r="8574" spans="1:6" x14ac:dyDescent="0.25">
      <c r="A8574" t="s">
        <v>687</v>
      </c>
      <c r="B8574" t="s">
        <v>64</v>
      </c>
      <c r="C8574" s="5" t="str">
        <f t="shared" si="367"/>
        <v xml:space="preserve"> кв. 60</v>
      </c>
      <c r="D8574" s="5" t="str">
        <f>CONCATENATE(A8574,C8574)</f>
        <v>Ленинградское шоссе, дом 128 к.2 кв. 60</v>
      </c>
      <c r="E8574" s="3">
        <f>HYPERLINK("https://sao.dolgi.msk.ru/account/1404171548/", 1404171548)</f>
        <v>1404171548</v>
      </c>
      <c r="F8574">
        <v>20587.89</v>
      </c>
    </row>
    <row r="8575" spans="1:6" hidden="1" x14ac:dyDescent="0.25">
      <c r="A8575" t="s">
        <v>687</v>
      </c>
      <c r="B8575" t="s">
        <v>65</v>
      </c>
      <c r="E8575" s="3">
        <f>HYPERLINK("https://sao.dolgi.msk.ru/account/1404171812/", 1404171812)</f>
        <v>1404171812</v>
      </c>
      <c r="F8575">
        <v>-15996.96</v>
      </c>
    </row>
    <row r="8576" spans="1:6" x14ac:dyDescent="0.25">
      <c r="A8576" t="s">
        <v>687</v>
      </c>
      <c r="B8576" t="s">
        <v>66</v>
      </c>
      <c r="C8576" s="5" t="str">
        <f t="shared" ref="C8576:C8579" si="368">" кв. "&amp;B8576</f>
        <v xml:space="preserve"> кв. 62</v>
      </c>
      <c r="D8576" s="5" t="str">
        <f>CONCATENATE(A8576,C8576)</f>
        <v>Ленинградское шоссе, дом 128 к.2 кв. 62</v>
      </c>
      <c r="E8576" s="3">
        <f>HYPERLINK("https://sao.dolgi.msk.ru/account/1404171847/", 1404171847)</f>
        <v>1404171847</v>
      </c>
      <c r="F8576">
        <v>17305.97</v>
      </c>
    </row>
    <row r="8577" spans="1:6" x14ac:dyDescent="0.25">
      <c r="A8577" t="s">
        <v>687</v>
      </c>
      <c r="B8577" t="s">
        <v>67</v>
      </c>
      <c r="C8577" s="5" t="str">
        <f t="shared" si="368"/>
        <v xml:space="preserve"> кв. 63</v>
      </c>
      <c r="D8577" s="5" t="str">
        <f>CONCATENATE(A8577,C8577)</f>
        <v>Ленинградское шоссе, дом 128 к.2 кв. 63</v>
      </c>
      <c r="E8577" s="3">
        <f>HYPERLINK("https://sao.dolgi.msk.ru/account/1404171871/", 1404171871)</f>
        <v>1404171871</v>
      </c>
      <c r="F8577">
        <v>25963.34</v>
      </c>
    </row>
    <row r="8578" spans="1:6" x14ac:dyDescent="0.25">
      <c r="A8578" t="s">
        <v>687</v>
      </c>
      <c r="B8578" t="s">
        <v>68</v>
      </c>
      <c r="C8578" s="5" t="str">
        <f t="shared" si="368"/>
        <v xml:space="preserve"> кв. 64</v>
      </c>
      <c r="D8578" s="5" t="str">
        <f>CONCATENATE(A8578,C8578)</f>
        <v>Ленинградское шоссе, дом 128 к.2 кв. 64</v>
      </c>
      <c r="E8578" s="3">
        <f>HYPERLINK("https://sao.dolgi.msk.ru/account/1404172217/", 1404172217)</f>
        <v>1404172217</v>
      </c>
      <c r="F8578">
        <v>9545.8700000000008</v>
      </c>
    </row>
    <row r="8579" spans="1:6" x14ac:dyDescent="0.25">
      <c r="A8579" t="s">
        <v>687</v>
      </c>
      <c r="B8579" t="s">
        <v>69</v>
      </c>
      <c r="C8579" s="5" t="str">
        <f t="shared" si="368"/>
        <v xml:space="preserve"> кв. 65</v>
      </c>
      <c r="D8579" s="5" t="str">
        <f>CONCATENATE(A8579,C8579)</f>
        <v>Ленинградское шоссе, дом 128 к.2 кв. 65</v>
      </c>
      <c r="E8579" s="3">
        <f>HYPERLINK("https://sao.dolgi.msk.ru/account/1404171994/", 1404171994)</f>
        <v>1404171994</v>
      </c>
      <c r="F8579">
        <v>48106.69</v>
      </c>
    </row>
    <row r="8580" spans="1:6" hidden="1" x14ac:dyDescent="0.25">
      <c r="A8580" t="s">
        <v>687</v>
      </c>
      <c r="B8580" t="s">
        <v>70</v>
      </c>
      <c r="E8580" s="3">
        <f>HYPERLINK("https://sao.dolgi.msk.ru/account/1404171919/", 1404171919)</f>
        <v>1404171919</v>
      </c>
      <c r="F8580">
        <v>0</v>
      </c>
    </row>
    <row r="8581" spans="1:6" hidden="1" x14ac:dyDescent="0.25">
      <c r="A8581" t="s">
        <v>687</v>
      </c>
      <c r="B8581" t="s">
        <v>71</v>
      </c>
      <c r="E8581" s="3">
        <f>HYPERLINK("https://sao.dolgi.msk.ru/account/1404171951/", 1404171951)</f>
        <v>1404171951</v>
      </c>
      <c r="F8581">
        <v>-9548.5</v>
      </c>
    </row>
    <row r="8582" spans="1:6" x14ac:dyDescent="0.25">
      <c r="A8582" t="s">
        <v>687</v>
      </c>
      <c r="B8582" t="s">
        <v>72</v>
      </c>
      <c r="C8582" s="5" t="str">
        <f t="shared" ref="C8582:C8586" si="369">" кв. "&amp;B8582</f>
        <v xml:space="preserve"> кв. 68</v>
      </c>
      <c r="D8582" s="5" t="str">
        <f>CONCATENATE(A8582,C8582)</f>
        <v>Ленинградское шоссе, дом 128 к.2 кв. 68</v>
      </c>
      <c r="E8582" s="3">
        <f>HYPERLINK("https://sao.dolgi.msk.ru/account/1404172006/", 1404172006)</f>
        <v>1404172006</v>
      </c>
      <c r="F8582">
        <v>32673.34</v>
      </c>
    </row>
    <row r="8583" spans="1:6" x14ac:dyDescent="0.25">
      <c r="A8583" t="s">
        <v>687</v>
      </c>
      <c r="B8583" t="s">
        <v>73</v>
      </c>
      <c r="C8583" s="5" t="str">
        <f t="shared" si="369"/>
        <v xml:space="preserve"> кв. 69</v>
      </c>
      <c r="D8583" s="5" t="str">
        <f>CONCATENATE(A8583,C8583)</f>
        <v>Ленинградское шоссе, дом 128 к.2 кв. 69</v>
      </c>
      <c r="E8583" s="3">
        <f>HYPERLINK("https://sao.dolgi.msk.ru/account/1404172014/", 1404172014)</f>
        <v>1404172014</v>
      </c>
      <c r="F8583">
        <v>13564.47</v>
      </c>
    </row>
    <row r="8584" spans="1:6" x14ac:dyDescent="0.25">
      <c r="A8584" t="s">
        <v>687</v>
      </c>
      <c r="B8584" t="s">
        <v>74</v>
      </c>
      <c r="C8584" s="5" t="str">
        <f t="shared" si="369"/>
        <v xml:space="preserve"> кв. 70</v>
      </c>
      <c r="D8584" s="5" t="str">
        <f>CONCATENATE(A8584,C8584)</f>
        <v>Ленинградское шоссе, дом 128 к.2 кв. 70</v>
      </c>
      <c r="E8584" s="3">
        <f>HYPERLINK("https://sao.dolgi.msk.ru/account/1404172022/", 1404172022)</f>
        <v>1404172022</v>
      </c>
      <c r="F8584">
        <v>13199.07</v>
      </c>
    </row>
    <row r="8585" spans="1:6" x14ac:dyDescent="0.25">
      <c r="A8585" t="s">
        <v>687</v>
      </c>
      <c r="B8585" t="s">
        <v>75</v>
      </c>
      <c r="C8585" s="5" t="str">
        <f t="shared" si="369"/>
        <v xml:space="preserve"> кв. 71</v>
      </c>
      <c r="D8585" s="5" t="str">
        <f>CONCATENATE(A8585,C8585)</f>
        <v>Ленинградское шоссе, дом 128 к.2 кв. 71</v>
      </c>
      <c r="E8585" s="3">
        <f>HYPERLINK("https://sao.dolgi.msk.ru/account/1404171636/", 1404171636)</f>
        <v>1404171636</v>
      </c>
      <c r="F8585">
        <v>36645.74</v>
      </c>
    </row>
    <row r="8586" spans="1:6" x14ac:dyDescent="0.25">
      <c r="A8586" t="s">
        <v>687</v>
      </c>
      <c r="B8586" t="s">
        <v>76</v>
      </c>
      <c r="C8586" s="5" t="str">
        <f t="shared" si="369"/>
        <v xml:space="preserve"> кв. 72</v>
      </c>
      <c r="D8586" s="5" t="str">
        <f>CONCATENATE(A8586,C8586)</f>
        <v>Ленинградское шоссе, дом 128 к.2 кв. 72</v>
      </c>
      <c r="E8586" s="3">
        <f>HYPERLINK("https://sao.dolgi.msk.ru/account/1404172161/", 1404172161)</f>
        <v>1404172161</v>
      </c>
      <c r="F8586">
        <v>22062.37</v>
      </c>
    </row>
    <row r="8587" spans="1:6" hidden="1" x14ac:dyDescent="0.25">
      <c r="A8587" t="s">
        <v>687</v>
      </c>
      <c r="B8587" t="s">
        <v>77</v>
      </c>
      <c r="E8587" s="3">
        <f>HYPERLINK("https://sao.dolgi.msk.ru/account/1404172188/", 1404172188)</f>
        <v>1404172188</v>
      </c>
      <c r="F8587">
        <v>-4972.21</v>
      </c>
    </row>
    <row r="8588" spans="1:6" x14ac:dyDescent="0.25">
      <c r="A8588" t="s">
        <v>687</v>
      </c>
      <c r="B8588" t="s">
        <v>78</v>
      </c>
      <c r="C8588" s="5" t="str">
        <f t="shared" ref="C8588:C8590" si="370">" кв. "&amp;B8588</f>
        <v xml:space="preserve"> кв. 74</v>
      </c>
      <c r="D8588" s="5" t="str">
        <f>CONCATENATE(A8588,C8588)</f>
        <v>Ленинградское шоссе, дом 128 к.2 кв. 74</v>
      </c>
      <c r="E8588" s="3">
        <f>HYPERLINK("https://sao.dolgi.msk.ru/account/1404172196/", 1404172196)</f>
        <v>1404172196</v>
      </c>
      <c r="F8588">
        <v>63713.51</v>
      </c>
    </row>
    <row r="8589" spans="1:6" x14ac:dyDescent="0.25">
      <c r="A8589" t="s">
        <v>687</v>
      </c>
      <c r="B8589" t="s">
        <v>79</v>
      </c>
      <c r="C8589" s="5" t="str">
        <f t="shared" si="370"/>
        <v xml:space="preserve"> кв. 75</v>
      </c>
      <c r="D8589" s="5" t="str">
        <f>CONCATENATE(A8589,C8589)</f>
        <v>Ленинградское шоссе, дом 128 к.2 кв. 75</v>
      </c>
      <c r="E8589" s="3">
        <f>HYPERLINK("https://sao.dolgi.msk.ru/account/1404171767/", 1404171767)</f>
        <v>1404171767</v>
      </c>
      <c r="F8589">
        <v>30663.67</v>
      </c>
    </row>
    <row r="8590" spans="1:6" x14ac:dyDescent="0.25">
      <c r="A8590" t="s">
        <v>687</v>
      </c>
      <c r="B8590" t="s">
        <v>80</v>
      </c>
      <c r="C8590" s="5" t="str">
        <f t="shared" si="370"/>
        <v xml:space="preserve"> кв. 76</v>
      </c>
      <c r="D8590" s="5" t="str">
        <f>CONCATENATE(A8590,C8590)</f>
        <v>Ленинградское шоссе, дом 128 к.2 кв. 76</v>
      </c>
      <c r="E8590" s="3">
        <f>HYPERLINK("https://sao.dolgi.msk.ru/account/1404173279/", 1404173279)</f>
        <v>1404173279</v>
      </c>
      <c r="F8590">
        <v>34234.54</v>
      </c>
    </row>
    <row r="8591" spans="1:6" hidden="1" x14ac:dyDescent="0.25">
      <c r="A8591" t="s">
        <v>687</v>
      </c>
      <c r="B8591" t="s">
        <v>81</v>
      </c>
      <c r="E8591" s="3">
        <f>HYPERLINK("https://sao.dolgi.msk.ru/account/1404173287/", 1404173287)</f>
        <v>1404173287</v>
      </c>
      <c r="F8591">
        <v>-6246.15</v>
      </c>
    </row>
    <row r="8592" spans="1:6" x14ac:dyDescent="0.25">
      <c r="A8592" t="s">
        <v>687</v>
      </c>
      <c r="B8592" t="s">
        <v>82</v>
      </c>
      <c r="C8592" s="5" t="str">
        <f>" кв. "&amp;B8592</f>
        <v xml:space="preserve"> кв. 78</v>
      </c>
      <c r="D8592" s="5" t="str">
        <f>CONCATENATE(A8592,C8592)</f>
        <v>Ленинградское шоссе, дом 128 к.2 кв. 78</v>
      </c>
      <c r="E8592" s="3">
        <f>HYPERLINK("https://sao.dolgi.msk.ru/account/1404173308/", 1404173308)</f>
        <v>1404173308</v>
      </c>
      <c r="F8592">
        <v>27248.99</v>
      </c>
    </row>
    <row r="8593" spans="1:6" hidden="1" x14ac:dyDescent="0.25">
      <c r="A8593" t="s">
        <v>687</v>
      </c>
      <c r="B8593" t="s">
        <v>83</v>
      </c>
      <c r="E8593" s="3">
        <f>HYPERLINK("https://sao.dolgi.msk.ru/account/1404173324/", 1404173324)</f>
        <v>1404173324</v>
      </c>
      <c r="F8593">
        <v>0</v>
      </c>
    </row>
    <row r="8594" spans="1:6" hidden="1" x14ac:dyDescent="0.25">
      <c r="A8594" t="s">
        <v>687</v>
      </c>
      <c r="B8594" t="s">
        <v>84</v>
      </c>
      <c r="E8594" s="3">
        <f>HYPERLINK("https://sao.dolgi.msk.ru/account/1404173316/", 1404173316)</f>
        <v>1404173316</v>
      </c>
      <c r="F8594">
        <v>0</v>
      </c>
    </row>
    <row r="8595" spans="1:6" x14ac:dyDescent="0.25">
      <c r="A8595" t="s">
        <v>687</v>
      </c>
      <c r="B8595" t="s">
        <v>85</v>
      </c>
      <c r="C8595" s="5" t="str">
        <f>" кв. "&amp;B8595</f>
        <v xml:space="preserve"> кв. 81</v>
      </c>
      <c r="D8595" s="5" t="str">
        <f>CONCATENATE(A8595,C8595)</f>
        <v>Ленинградское шоссе, дом 128 к.2 кв. 81</v>
      </c>
      <c r="E8595" s="3">
        <f>HYPERLINK("https://sao.dolgi.msk.ru/account/1404173359/", 1404173359)</f>
        <v>1404173359</v>
      </c>
      <c r="F8595">
        <v>43529.77</v>
      </c>
    </row>
    <row r="8596" spans="1:6" hidden="1" x14ac:dyDescent="0.25">
      <c r="A8596" t="s">
        <v>687</v>
      </c>
      <c r="B8596" t="s">
        <v>86</v>
      </c>
      <c r="E8596" s="3">
        <f>HYPERLINK("https://sao.dolgi.msk.ru/account/1404174423/", 1404174423)</f>
        <v>1404174423</v>
      </c>
      <c r="F8596">
        <v>-380.27</v>
      </c>
    </row>
    <row r="8597" spans="1:6" x14ac:dyDescent="0.25">
      <c r="A8597" t="s">
        <v>687</v>
      </c>
      <c r="B8597" t="s">
        <v>87</v>
      </c>
      <c r="C8597" s="5" t="str">
        <f t="shared" ref="C8597:C8598" si="371">" кв. "&amp;B8597</f>
        <v xml:space="preserve"> кв. 83</v>
      </c>
      <c r="D8597" s="5" t="str">
        <f>CONCATENATE(A8597,C8597)</f>
        <v>Ленинградское шоссе, дом 128 к.2 кв. 83</v>
      </c>
      <c r="E8597" s="3">
        <f>HYPERLINK("https://sao.dolgi.msk.ru/account/1404173367/", 1404173367)</f>
        <v>1404173367</v>
      </c>
      <c r="F8597">
        <v>4281.8599999999997</v>
      </c>
    </row>
    <row r="8598" spans="1:6" x14ac:dyDescent="0.25">
      <c r="A8598" t="s">
        <v>687</v>
      </c>
      <c r="B8598" t="s">
        <v>88</v>
      </c>
      <c r="C8598" s="5" t="str">
        <f t="shared" si="371"/>
        <v xml:space="preserve"> кв. 84</v>
      </c>
      <c r="D8598" s="5" t="str">
        <f>CONCATENATE(A8598,C8598)</f>
        <v>Ленинградское шоссе, дом 128 к.2 кв. 84</v>
      </c>
      <c r="E8598" s="3">
        <f>HYPERLINK("https://sao.dolgi.msk.ru/account/1404173295/", 1404173295)</f>
        <v>1404173295</v>
      </c>
      <c r="F8598">
        <v>9762.57</v>
      </c>
    </row>
    <row r="8599" spans="1:6" hidden="1" x14ac:dyDescent="0.25">
      <c r="A8599" t="s">
        <v>688</v>
      </c>
      <c r="B8599" t="s">
        <v>5</v>
      </c>
      <c r="E8599" s="3">
        <f>HYPERLINK("https://sao.dolgi.msk.ru/account/1404186723/", 1404186723)</f>
        <v>1404186723</v>
      </c>
      <c r="F8599">
        <v>-2417.35</v>
      </c>
    </row>
    <row r="8600" spans="1:6" hidden="1" x14ac:dyDescent="0.25">
      <c r="A8600" t="s">
        <v>688</v>
      </c>
      <c r="B8600" t="s">
        <v>6</v>
      </c>
      <c r="E8600" s="3">
        <f>HYPERLINK("https://sao.dolgi.msk.ru/account/1404185368/", 1404185368)</f>
        <v>1404185368</v>
      </c>
      <c r="F8600">
        <v>0</v>
      </c>
    </row>
    <row r="8601" spans="1:6" hidden="1" x14ac:dyDescent="0.25">
      <c r="A8601" t="s">
        <v>688</v>
      </c>
      <c r="B8601" t="s">
        <v>7</v>
      </c>
      <c r="E8601" s="3">
        <f>HYPERLINK("https://sao.dolgi.msk.ru/account/1404186512/", 1404186512)</f>
        <v>1404186512</v>
      </c>
      <c r="F8601">
        <v>-2357.25</v>
      </c>
    </row>
    <row r="8602" spans="1:6" x14ac:dyDescent="0.25">
      <c r="A8602" t="s">
        <v>688</v>
      </c>
      <c r="B8602" t="s">
        <v>8</v>
      </c>
      <c r="C8602" s="5" t="str">
        <f>" кв. "&amp;B8602</f>
        <v xml:space="preserve"> кв. 4</v>
      </c>
      <c r="D8602" s="5" t="str">
        <f>CONCATENATE(A8602,C8602)</f>
        <v>Ленинградское шоссе, дом 130 к.2 кв. 4</v>
      </c>
      <c r="E8602" s="3">
        <f>HYPERLINK("https://sao.dolgi.msk.ru/account/1404186934/", 1404186934)</f>
        <v>1404186934</v>
      </c>
      <c r="F8602">
        <v>1217.76</v>
      </c>
    </row>
    <row r="8603" spans="1:6" hidden="1" x14ac:dyDescent="0.25">
      <c r="A8603" t="s">
        <v>688</v>
      </c>
      <c r="B8603" t="s">
        <v>9</v>
      </c>
      <c r="E8603" s="3">
        <f>HYPERLINK("https://sao.dolgi.msk.ru/account/1404186133/", 1404186133)</f>
        <v>1404186133</v>
      </c>
      <c r="F8603">
        <v>-2190.86</v>
      </c>
    </row>
    <row r="8604" spans="1:6" hidden="1" x14ac:dyDescent="0.25">
      <c r="A8604" t="s">
        <v>688</v>
      </c>
      <c r="B8604" t="s">
        <v>10</v>
      </c>
      <c r="E8604" s="3">
        <f>HYPERLINK("https://sao.dolgi.msk.ru/account/1404185923/", 1404185923)</f>
        <v>1404185923</v>
      </c>
      <c r="F8604">
        <v>0</v>
      </c>
    </row>
    <row r="8605" spans="1:6" hidden="1" x14ac:dyDescent="0.25">
      <c r="A8605" t="s">
        <v>688</v>
      </c>
      <c r="B8605" t="s">
        <v>11</v>
      </c>
      <c r="E8605" s="3">
        <f>HYPERLINK("https://sao.dolgi.msk.ru/account/1404185421/", 1404185421)</f>
        <v>1404185421</v>
      </c>
      <c r="F8605">
        <v>0</v>
      </c>
    </row>
    <row r="8606" spans="1:6" hidden="1" x14ac:dyDescent="0.25">
      <c r="A8606" t="s">
        <v>688</v>
      </c>
      <c r="B8606" t="s">
        <v>12</v>
      </c>
      <c r="E8606" s="3">
        <f>HYPERLINK("https://sao.dolgi.msk.ru/account/1404186264/", 1404186264)</f>
        <v>1404186264</v>
      </c>
      <c r="F8606">
        <v>-1659.33</v>
      </c>
    </row>
    <row r="8607" spans="1:6" hidden="1" x14ac:dyDescent="0.25">
      <c r="A8607" t="s">
        <v>688</v>
      </c>
      <c r="B8607" t="s">
        <v>13</v>
      </c>
      <c r="E8607" s="3">
        <f>HYPERLINK("https://sao.dolgi.msk.ru/account/1404186926/", 1404186926)</f>
        <v>1404186926</v>
      </c>
      <c r="F8607">
        <v>0</v>
      </c>
    </row>
    <row r="8608" spans="1:6" x14ac:dyDescent="0.25">
      <c r="A8608" t="s">
        <v>688</v>
      </c>
      <c r="B8608" t="s">
        <v>14</v>
      </c>
      <c r="C8608" s="5" t="str">
        <f>" кв. "&amp;B8608</f>
        <v xml:space="preserve"> кв. 10</v>
      </c>
      <c r="D8608" s="5" t="str">
        <f>CONCATENATE(A8608,C8608)</f>
        <v>Ленинградское шоссе, дом 130 к.2 кв. 10</v>
      </c>
      <c r="E8608" s="3">
        <f>HYPERLINK("https://sao.dolgi.msk.ru/account/1404185536/", 1404185536)</f>
        <v>1404185536</v>
      </c>
      <c r="F8608">
        <v>1609.97</v>
      </c>
    </row>
    <row r="8609" spans="1:6" hidden="1" x14ac:dyDescent="0.25">
      <c r="A8609" t="s">
        <v>688</v>
      </c>
      <c r="B8609" t="s">
        <v>15</v>
      </c>
      <c r="E8609" s="3">
        <f>HYPERLINK("https://sao.dolgi.msk.ru/account/1404186045/", 1404186045)</f>
        <v>1404186045</v>
      </c>
      <c r="F8609">
        <v>-1770.25</v>
      </c>
    </row>
    <row r="8610" spans="1:6" x14ac:dyDescent="0.25">
      <c r="A8610" t="s">
        <v>688</v>
      </c>
      <c r="B8610" t="s">
        <v>16</v>
      </c>
      <c r="C8610" s="5" t="str">
        <f t="shared" ref="C8610:C8611" si="372">" кв. "&amp;B8610</f>
        <v xml:space="preserve"> кв. 12</v>
      </c>
      <c r="D8610" s="5" t="str">
        <f>CONCATENATE(A8610,C8610)</f>
        <v>Ленинградское шоссе, дом 130 к.2 кв. 12</v>
      </c>
      <c r="E8610" s="3">
        <f>HYPERLINK("https://sao.dolgi.msk.ru/account/1404185819/", 1404185819)</f>
        <v>1404185819</v>
      </c>
      <c r="F8610">
        <v>1486.61</v>
      </c>
    </row>
    <row r="8611" spans="1:6" x14ac:dyDescent="0.25">
      <c r="A8611" t="s">
        <v>688</v>
      </c>
      <c r="B8611" t="s">
        <v>17</v>
      </c>
      <c r="C8611" s="5" t="str">
        <f t="shared" si="372"/>
        <v xml:space="preserve"> кв. 13</v>
      </c>
      <c r="D8611" s="5" t="str">
        <f>CONCATENATE(A8611,C8611)</f>
        <v>Ленинградское шоссе, дом 130 к.2 кв. 13</v>
      </c>
      <c r="E8611" s="3">
        <f>HYPERLINK("https://sao.dolgi.msk.ru/account/1404186483/", 1404186483)</f>
        <v>1404186483</v>
      </c>
      <c r="F8611">
        <v>1685.88</v>
      </c>
    </row>
    <row r="8612" spans="1:6" hidden="1" x14ac:dyDescent="0.25">
      <c r="A8612" t="s">
        <v>688</v>
      </c>
      <c r="B8612" t="s">
        <v>18</v>
      </c>
      <c r="E8612" s="3">
        <f>HYPERLINK("https://sao.dolgi.msk.ru/account/1404185835/", 1404185835)</f>
        <v>1404185835</v>
      </c>
      <c r="F8612">
        <v>-2394.23</v>
      </c>
    </row>
    <row r="8613" spans="1:6" hidden="1" x14ac:dyDescent="0.25">
      <c r="A8613" t="s">
        <v>688</v>
      </c>
      <c r="B8613" t="s">
        <v>19</v>
      </c>
      <c r="E8613" s="3">
        <f>HYPERLINK("https://sao.dolgi.msk.ru/account/1404186678/", 1404186678)</f>
        <v>1404186678</v>
      </c>
      <c r="F8613">
        <v>-2491.3000000000002</v>
      </c>
    </row>
    <row r="8614" spans="1:6" x14ac:dyDescent="0.25">
      <c r="A8614" t="s">
        <v>688</v>
      </c>
      <c r="B8614" t="s">
        <v>20</v>
      </c>
      <c r="C8614" s="5" t="str">
        <f>" кв. "&amp;B8614</f>
        <v xml:space="preserve"> кв. 16</v>
      </c>
      <c r="D8614" s="5" t="str">
        <f>CONCATENATE(A8614,C8614)</f>
        <v>Ленинградское шоссе, дом 130 к.2 кв. 16</v>
      </c>
      <c r="E8614" s="3">
        <f>HYPERLINK("https://sao.dolgi.msk.ru/account/1404187021/", 1404187021)</f>
        <v>1404187021</v>
      </c>
      <c r="F8614">
        <v>1692.21</v>
      </c>
    </row>
    <row r="8615" spans="1:6" hidden="1" x14ac:dyDescent="0.25">
      <c r="A8615" t="s">
        <v>688</v>
      </c>
      <c r="B8615" t="s">
        <v>21</v>
      </c>
      <c r="E8615" s="3">
        <f>HYPERLINK("https://sao.dolgi.msk.ru/account/1404186766/", 1404186766)</f>
        <v>1404186766</v>
      </c>
      <c r="F8615">
        <v>-2043.6</v>
      </c>
    </row>
    <row r="8616" spans="1:6" hidden="1" x14ac:dyDescent="0.25">
      <c r="A8616" t="s">
        <v>688</v>
      </c>
      <c r="B8616" t="s">
        <v>22</v>
      </c>
      <c r="E8616" s="3">
        <f>HYPERLINK("https://sao.dolgi.msk.ru/account/1404185878/", 1404185878)</f>
        <v>1404185878</v>
      </c>
      <c r="F8616">
        <v>0</v>
      </c>
    </row>
    <row r="8617" spans="1:6" hidden="1" x14ac:dyDescent="0.25">
      <c r="A8617" t="s">
        <v>688</v>
      </c>
      <c r="B8617" t="s">
        <v>23</v>
      </c>
      <c r="E8617" s="3">
        <f>HYPERLINK("https://sao.dolgi.msk.ru/account/1404185771/", 1404185771)</f>
        <v>1404185771</v>
      </c>
      <c r="F8617">
        <v>-2348</v>
      </c>
    </row>
    <row r="8618" spans="1:6" hidden="1" x14ac:dyDescent="0.25">
      <c r="A8618" t="s">
        <v>688</v>
      </c>
      <c r="B8618" t="s">
        <v>24</v>
      </c>
      <c r="E8618" s="3">
        <f>HYPERLINK("https://sao.dolgi.msk.ru/account/1404185552/", 1404185552)</f>
        <v>1404185552</v>
      </c>
      <c r="F8618">
        <v>-2486.67</v>
      </c>
    </row>
    <row r="8619" spans="1:6" x14ac:dyDescent="0.25">
      <c r="A8619" t="s">
        <v>688</v>
      </c>
      <c r="B8619" t="s">
        <v>25</v>
      </c>
      <c r="C8619" s="5" t="str">
        <f>" кв. "&amp;B8619</f>
        <v xml:space="preserve"> кв. 21</v>
      </c>
      <c r="D8619" s="5" t="str">
        <f>CONCATENATE(A8619,C8619)</f>
        <v>Ленинградское шоссе, дом 130 к.2 кв. 21</v>
      </c>
      <c r="E8619" s="3">
        <f>HYPERLINK("https://sao.dolgi.msk.ru/account/1404185798/", 1404185798)</f>
        <v>1404185798</v>
      </c>
      <c r="F8619">
        <v>1685.88</v>
      </c>
    </row>
    <row r="8620" spans="1:6" hidden="1" x14ac:dyDescent="0.25">
      <c r="A8620" t="s">
        <v>688</v>
      </c>
      <c r="B8620" t="s">
        <v>26</v>
      </c>
      <c r="E8620" s="3">
        <f>HYPERLINK("https://sao.dolgi.msk.ru/account/1404186424/", 1404186424)</f>
        <v>1404186424</v>
      </c>
      <c r="F8620">
        <v>-2491.3000000000002</v>
      </c>
    </row>
    <row r="8621" spans="1:6" x14ac:dyDescent="0.25">
      <c r="A8621" t="s">
        <v>688</v>
      </c>
      <c r="B8621" t="s">
        <v>27</v>
      </c>
      <c r="C8621" s="5" t="str">
        <f>" кв. "&amp;B8621</f>
        <v xml:space="preserve"> кв. 23</v>
      </c>
      <c r="D8621" s="5" t="str">
        <f>CONCATENATE(A8621,C8621)</f>
        <v>Ленинградское шоссе, дом 130 к.2 кв. 23</v>
      </c>
      <c r="E8621" s="3">
        <f>HYPERLINK("https://sao.dolgi.msk.ru/account/1404186184/", 1404186184)</f>
        <v>1404186184</v>
      </c>
      <c r="F8621">
        <v>1695.37</v>
      </c>
    </row>
    <row r="8622" spans="1:6" hidden="1" x14ac:dyDescent="0.25">
      <c r="A8622" t="s">
        <v>688</v>
      </c>
      <c r="B8622" t="s">
        <v>28</v>
      </c>
      <c r="E8622" s="3">
        <f>HYPERLINK("https://sao.dolgi.msk.ru/account/1404185739/", 1404185739)</f>
        <v>1404185739</v>
      </c>
      <c r="F8622">
        <v>-2445.0700000000002</v>
      </c>
    </row>
    <row r="8623" spans="1:6" hidden="1" x14ac:dyDescent="0.25">
      <c r="A8623" t="s">
        <v>688</v>
      </c>
      <c r="B8623" t="s">
        <v>29</v>
      </c>
      <c r="E8623" s="3">
        <f>HYPERLINK("https://sao.dolgi.msk.ru/account/1404186686/", 1404186686)</f>
        <v>1404186686</v>
      </c>
      <c r="F8623">
        <v>-1030.72</v>
      </c>
    </row>
    <row r="8624" spans="1:6" hidden="1" x14ac:dyDescent="0.25">
      <c r="A8624" t="s">
        <v>688</v>
      </c>
      <c r="B8624" t="s">
        <v>30</v>
      </c>
      <c r="E8624" s="3">
        <f>HYPERLINK("https://sao.dolgi.msk.ru/account/1404186694/", 1404186694)</f>
        <v>1404186694</v>
      </c>
      <c r="F8624">
        <v>0</v>
      </c>
    </row>
    <row r="8625" spans="1:6" hidden="1" x14ac:dyDescent="0.25">
      <c r="A8625" t="s">
        <v>688</v>
      </c>
      <c r="B8625" t="s">
        <v>31</v>
      </c>
      <c r="E8625" s="3">
        <f>HYPERLINK("https://sao.dolgi.msk.ru/account/1404186811/", 1404186811)</f>
        <v>1404186811</v>
      </c>
      <c r="F8625">
        <v>-1581.7</v>
      </c>
    </row>
    <row r="8626" spans="1:6" hidden="1" x14ac:dyDescent="0.25">
      <c r="A8626" t="s">
        <v>688</v>
      </c>
      <c r="B8626" t="s">
        <v>32</v>
      </c>
      <c r="E8626" s="3">
        <f>HYPERLINK("https://sao.dolgi.msk.ru/account/1404185608/", 1404185608)</f>
        <v>1404185608</v>
      </c>
      <c r="F8626">
        <v>-2227.44</v>
      </c>
    </row>
    <row r="8627" spans="1:6" hidden="1" x14ac:dyDescent="0.25">
      <c r="A8627" t="s">
        <v>688</v>
      </c>
      <c r="B8627" t="s">
        <v>33</v>
      </c>
      <c r="E8627" s="3">
        <f>HYPERLINK("https://sao.dolgi.msk.ru/account/1404185616/", 1404185616)</f>
        <v>1404185616</v>
      </c>
      <c r="F8627">
        <v>-541.32000000000005</v>
      </c>
    </row>
    <row r="8628" spans="1:6" hidden="1" x14ac:dyDescent="0.25">
      <c r="A8628" t="s">
        <v>688</v>
      </c>
      <c r="B8628" t="s">
        <v>34</v>
      </c>
      <c r="E8628" s="3">
        <f>HYPERLINK("https://sao.dolgi.msk.ru/account/1404186395/", 1404186395)</f>
        <v>1404186395</v>
      </c>
      <c r="F8628">
        <v>0</v>
      </c>
    </row>
    <row r="8629" spans="1:6" hidden="1" x14ac:dyDescent="0.25">
      <c r="A8629" t="s">
        <v>688</v>
      </c>
      <c r="B8629" t="s">
        <v>35</v>
      </c>
      <c r="E8629" s="3">
        <f>HYPERLINK("https://sao.dolgi.msk.ru/account/1404186838/", 1404186838)</f>
        <v>1404186838</v>
      </c>
      <c r="F8629">
        <v>-2440.44</v>
      </c>
    </row>
    <row r="8630" spans="1:6" x14ac:dyDescent="0.25">
      <c r="A8630" t="s">
        <v>688</v>
      </c>
      <c r="B8630" t="s">
        <v>36</v>
      </c>
      <c r="C8630" s="5" t="str">
        <f>" кв. "&amp;B8630</f>
        <v xml:space="preserve"> кв. 32</v>
      </c>
      <c r="D8630" s="5" t="str">
        <f>CONCATENATE(A8630,C8630)</f>
        <v>Ленинградское шоссе, дом 130 к.2 кв. 32</v>
      </c>
      <c r="E8630" s="3">
        <f>HYPERLINK("https://sao.dolgi.msk.ru/account/1404186846/", 1404186846)</f>
        <v>1404186846</v>
      </c>
      <c r="F8630">
        <v>607.29</v>
      </c>
    </row>
    <row r="8631" spans="1:6" hidden="1" x14ac:dyDescent="0.25">
      <c r="A8631" t="s">
        <v>688</v>
      </c>
      <c r="B8631" t="s">
        <v>37</v>
      </c>
      <c r="E8631" s="3">
        <f>HYPERLINK("https://sao.dolgi.msk.ru/account/1404185624/", 1404185624)</f>
        <v>1404185624</v>
      </c>
      <c r="F8631">
        <v>-2352.63</v>
      </c>
    </row>
    <row r="8632" spans="1:6" hidden="1" x14ac:dyDescent="0.25">
      <c r="A8632" t="s">
        <v>688</v>
      </c>
      <c r="B8632" t="s">
        <v>38</v>
      </c>
      <c r="E8632" s="3">
        <f>HYPERLINK("https://sao.dolgi.msk.ru/account/1404185894/", 1404185894)</f>
        <v>1404185894</v>
      </c>
      <c r="F8632">
        <v>0</v>
      </c>
    </row>
    <row r="8633" spans="1:6" hidden="1" x14ac:dyDescent="0.25">
      <c r="A8633" t="s">
        <v>688</v>
      </c>
      <c r="B8633" t="s">
        <v>39</v>
      </c>
      <c r="E8633" s="3">
        <f>HYPERLINK("https://sao.dolgi.msk.ru/account/1404186301/", 1404186301)</f>
        <v>1404186301</v>
      </c>
      <c r="F8633">
        <v>-2070.8200000000002</v>
      </c>
    </row>
    <row r="8634" spans="1:6" x14ac:dyDescent="0.25">
      <c r="A8634" t="s">
        <v>688</v>
      </c>
      <c r="B8634" t="s">
        <v>40</v>
      </c>
      <c r="C8634" s="5" t="str">
        <f t="shared" ref="C8634:C8636" si="373">" кв. "&amp;B8634</f>
        <v xml:space="preserve"> кв. 36</v>
      </c>
      <c r="D8634" s="5" t="str">
        <f>CONCATENATE(A8634,C8634)</f>
        <v>Ленинградское шоссе, дом 130 к.2 кв. 36</v>
      </c>
      <c r="E8634" s="3">
        <f>HYPERLINK("https://sao.dolgi.msk.ru/account/1404185376/", 1404185376)</f>
        <v>1404185376</v>
      </c>
      <c r="F8634">
        <v>1698.53</v>
      </c>
    </row>
    <row r="8635" spans="1:6" x14ac:dyDescent="0.25">
      <c r="A8635" t="s">
        <v>688</v>
      </c>
      <c r="B8635" t="s">
        <v>41</v>
      </c>
      <c r="C8635" s="5" t="str">
        <f t="shared" si="373"/>
        <v xml:space="preserve"> кв. 37</v>
      </c>
      <c r="D8635" s="5" t="str">
        <f>CONCATENATE(A8635,C8635)</f>
        <v>Ленинградское шоссе, дом 130 к.2 кв. 37</v>
      </c>
      <c r="E8635" s="3">
        <f>HYPERLINK("https://sao.dolgi.msk.ru/account/1404185384/", 1404185384)</f>
        <v>1404185384</v>
      </c>
      <c r="F8635">
        <v>1176.6300000000001</v>
      </c>
    </row>
    <row r="8636" spans="1:6" x14ac:dyDescent="0.25">
      <c r="A8636" t="s">
        <v>688</v>
      </c>
      <c r="B8636" t="s">
        <v>42</v>
      </c>
      <c r="C8636" s="5" t="str">
        <f t="shared" si="373"/>
        <v xml:space="preserve"> кв. 38</v>
      </c>
      <c r="D8636" s="5" t="str">
        <f>CONCATENATE(A8636,C8636)</f>
        <v>Ленинградское шоссе, дом 130 к.2 кв. 38</v>
      </c>
      <c r="E8636" s="3">
        <f>HYPERLINK("https://sao.dolgi.msk.ru/account/1404185456/", 1404185456)</f>
        <v>1404185456</v>
      </c>
      <c r="F8636">
        <v>1670.06</v>
      </c>
    </row>
    <row r="8637" spans="1:6" hidden="1" x14ac:dyDescent="0.25">
      <c r="A8637" t="s">
        <v>688</v>
      </c>
      <c r="B8637" t="s">
        <v>43</v>
      </c>
      <c r="E8637" s="3">
        <f>HYPERLINK("https://sao.dolgi.msk.ru/account/1404186125/", 1404186125)</f>
        <v>1404186125</v>
      </c>
      <c r="F8637">
        <v>-939</v>
      </c>
    </row>
    <row r="8638" spans="1:6" hidden="1" x14ac:dyDescent="0.25">
      <c r="A8638" t="s">
        <v>688</v>
      </c>
      <c r="B8638" t="s">
        <v>44</v>
      </c>
      <c r="E8638" s="3">
        <f>HYPERLINK("https://sao.dolgi.msk.ru/account/1404185501/", 1404185501)</f>
        <v>1404185501</v>
      </c>
      <c r="F8638">
        <v>0</v>
      </c>
    </row>
    <row r="8639" spans="1:6" x14ac:dyDescent="0.25">
      <c r="A8639" t="s">
        <v>688</v>
      </c>
      <c r="B8639" t="s">
        <v>44</v>
      </c>
      <c r="C8639" s="5" t="str">
        <f>" кв. "&amp;B8639</f>
        <v xml:space="preserve"> кв. 40</v>
      </c>
      <c r="D8639" s="5" t="str">
        <f>CONCATENATE(A8639,C8639)</f>
        <v>Ленинградское шоссе, дом 130 к.2 кв. 40</v>
      </c>
      <c r="E8639" s="3">
        <f>HYPERLINK("https://sao.dolgi.msk.ru/account/1404186774/", 1404186774)</f>
        <v>1404186774</v>
      </c>
      <c r="F8639">
        <v>401.7</v>
      </c>
    </row>
    <row r="8640" spans="1:6" hidden="1" x14ac:dyDescent="0.25">
      <c r="A8640" t="s">
        <v>688</v>
      </c>
      <c r="B8640" t="s">
        <v>45</v>
      </c>
      <c r="E8640" s="3">
        <f>HYPERLINK("https://sao.dolgi.msk.ru/account/1404186088/", 1404186088)</f>
        <v>1404186088</v>
      </c>
      <c r="F8640">
        <v>-2495.92</v>
      </c>
    </row>
    <row r="8641" spans="1:6" hidden="1" x14ac:dyDescent="0.25">
      <c r="A8641" t="s">
        <v>688</v>
      </c>
      <c r="B8641" t="s">
        <v>46</v>
      </c>
      <c r="E8641" s="3">
        <f>HYPERLINK("https://sao.dolgi.msk.ru/account/1404186096/", 1404186096)</f>
        <v>1404186096</v>
      </c>
      <c r="F8641">
        <v>-2482.0500000000002</v>
      </c>
    </row>
    <row r="8642" spans="1:6" hidden="1" x14ac:dyDescent="0.25">
      <c r="A8642" t="s">
        <v>688</v>
      </c>
      <c r="B8642" t="s">
        <v>47</v>
      </c>
      <c r="E8642" s="3">
        <f>HYPERLINK("https://sao.dolgi.msk.ru/account/1404186862/", 1404186862)</f>
        <v>1404186862</v>
      </c>
      <c r="F8642">
        <v>-2482.0500000000002</v>
      </c>
    </row>
    <row r="8643" spans="1:6" hidden="1" x14ac:dyDescent="0.25">
      <c r="A8643" t="s">
        <v>688</v>
      </c>
      <c r="B8643" t="s">
        <v>48</v>
      </c>
      <c r="E8643" s="3">
        <f>HYPERLINK("https://sao.dolgi.msk.ru/account/1404185982/", 1404185982)</f>
        <v>1404185982</v>
      </c>
      <c r="F8643">
        <v>-2477.4299999999998</v>
      </c>
    </row>
    <row r="8644" spans="1:6" x14ac:dyDescent="0.25">
      <c r="A8644" t="s">
        <v>688</v>
      </c>
      <c r="B8644" t="s">
        <v>49</v>
      </c>
      <c r="C8644" s="5" t="str">
        <f>" кв. "&amp;B8644</f>
        <v xml:space="preserve"> кв. 45</v>
      </c>
      <c r="D8644" s="5" t="str">
        <f>CONCATENATE(A8644,C8644)</f>
        <v>Ленинградское шоссе, дом 130 к.2 кв. 45</v>
      </c>
      <c r="E8644" s="3">
        <f>HYPERLINK("https://sao.dolgi.msk.ru/account/1404185499/", 1404185499)</f>
        <v>1404185499</v>
      </c>
      <c r="F8644">
        <v>1679.55</v>
      </c>
    </row>
    <row r="8645" spans="1:6" hidden="1" x14ac:dyDescent="0.25">
      <c r="A8645" t="s">
        <v>688</v>
      </c>
      <c r="B8645" t="s">
        <v>50</v>
      </c>
      <c r="E8645" s="3">
        <f>HYPERLINK("https://sao.dolgi.msk.ru/account/1404187144/", 1404187144)</f>
        <v>1404187144</v>
      </c>
      <c r="F8645">
        <v>-1784.12</v>
      </c>
    </row>
    <row r="8646" spans="1:6" x14ac:dyDescent="0.25">
      <c r="A8646" t="s">
        <v>688</v>
      </c>
      <c r="B8646" t="s">
        <v>51</v>
      </c>
      <c r="C8646" s="5" t="str">
        <f>" кв. "&amp;B8646</f>
        <v xml:space="preserve"> кв. 47</v>
      </c>
      <c r="D8646" s="5" t="str">
        <f>CONCATENATE(A8646,C8646)</f>
        <v>Ленинградское шоссе, дом 130 к.2 кв. 47</v>
      </c>
      <c r="E8646" s="3">
        <f>HYPERLINK("https://sao.dolgi.msk.ru/account/1404187152/", 1404187152)</f>
        <v>1404187152</v>
      </c>
      <c r="F8646">
        <v>1606.8</v>
      </c>
    </row>
    <row r="8647" spans="1:6" hidden="1" x14ac:dyDescent="0.25">
      <c r="A8647" t="s">
        <v>688</v>
      </c>
      <c r="B8647" t="s">
        <v>52</v>
      </c>
      <c r="E8647" s="3">
        <f>HYPERLINK("https://sao.dolgi.msk.ru/account/1404186598/", 1404186598)</f>
        <v>1404186598</v>
      </c>
      <c r="F8647">
        <v>-2500.54</v>
      </c>
    </row>
    <row r="8648" spans="1:6" hidden="1" x14ac:dyDescent="0.25">
      <c r="A8648" t="s">
        <v>688</v>
      </c>
      <c r="B8648" t="s">
        <v>53</v>
      </c>
      <c r="E8648" s="3">
        <f>HYPERLINK("https://sao.dolgi.msk.ru/account/1404185747/", 1404185747)</f>
        <v>1404185747</v>
      </c>
      <c r="F8648">
        <v>-1905.17</v>
      </c>
    </row>
    <row r="8649" spans="1:6" hidden="1" x14ac:dyDescent="0.25">
      <c r="A8649" t="s">
        <v>688</v>
      </c>
      <c r="B8649" t="s">
        <v>54</v>
      </c>
      <c r="E8649" s="3">
        <f>HYPERLINK("https://sao.dolgi.msk.ru/account/1404185755/", 1404185755)</f>
        <v>1404185755</v>
      </c>
      <c r="F8649">
        <v>-2500.54</v>
      </c>
    </row>
    <row r="8650" spans="1:6" hidden="1" x14ac:dyDescent="0.25">
      <c r="A8650" t="s">
        <v>688</v>
      </c>
      <c r="B8650" t="s">
        <v>55</v>
      </c>
      <c r="E8650" s="3">
        <f>HYPERLINK("https://sao.dolgi.msk.ru/account/1404186571/", 1404186571)</f>
        <v>1404186571</v>
      </c>
      <c r="F8650">
        <v>-2491.3000000000002</v>
      </c>
    </row>
    <row r="8651" spans="1:6" hidden="1" x14ac:dyDescent="0.25">
      <c r="A8651" t="s">
        <v>688</v>
      </c>
      <c r="B8651" t="s">
        <v>56</v>
      </c>
      <c r="E8651" s="3">
        <f>HYPERLINK("https://sao.dolgi.msk.ru/account/1404186002/", 1404186002)</f>
        <v>1404186002</v>
      </c>
      <c r="F8651">
        <v>-1370.75</v>
      </c>
    </row>
    <row r="8652" spans="1:6" hidden="1" x14ac:dyDescent="0.25">
      <c r="A8652" t="s">
        <v>688</v>
      </c>
      <c r="B8652" t="s">
        <v>57</v>
      </c>
      <c r="E8652" s="3">
        <f>HYPERLINK("https://sao.dolgi.msk.ru/account/1404186619/", 1404186619)</f>
        <v>1404186619</v>
      </c>
      <c r="F8652">
        <v>-1784.12</v>
      </c>
    </row>
    <row r="8653" spans="1:6" hidden="1" x14ac:dyDescent="0.25">
      <c r="A8653" t="s">
        <v>688</v>
      </c>
      <c r="B8653" t="s">
        <v>58</v>
      </c>
      <c r="E8653" s="3">
        <f>HYPERLINK("https://sao.dolgi.msk.ru/account/1404186627/", 1404186627)</f>
        <v>1404186627</v>
      </c>
      <c r="F8653">
        <v>-2352.63</v>
      </c>
    </row>
    <row r="8654" spans="1:6" hidden="1" x14ac:dyDescent="0.25">
      <c r="A8654" t="s">
        <v>688</v>
      </c>
      <c r="B8654" t="s">
        <v>59</v>
      </c>
      <c r="E8654" s="3">
        <f>HYPERLINK("https://sao.dolgi.msk.ru/account/1404187179/", 1404187179)</f>
        <v>1404187179</v>
      </c>
      <c r="F8654">
        <v>-2264.4299999999998</v>
      </c>
    </row>
    <row r="8655" spans="1:6" hidden="1" x14ac:dyDescent="0.25">
      <c r="A8655" t="s">
        <v>688</v>
      </c>
      <c r="B8655" t="s">
        <v>60</v>
      </c>
      <c r="E8655" s="3">
        <f>HYPERLINK("https://sao.dolgi.msk.ru/account/1404186942/", 1404186942)</f>
        <v>1404186942</v>
      </c>
      <c r="F8655">
        <v>-2222.8200000000002</v>
      </c>
    </row>
    <row r="8656" spans="1:6" hidden="1" x14ac:dyDescent="0.25">
      <c r="A8656" t="s">
        <v>688</v>
      </c>
      <c r="B8656" t="s">
        <v>61</v>
      </c>
      <c r="E8656" s="3">
        <f>HYPERLINK("https://sao.dolgi.msk.ru/account/1404186635/", 1404186635)</f>
        <v>1404186635</v>
      </c>
      <c r="F8656">
        <v>0</v>
      </c>
    </row>
    <row r="8657" spans="1:6" x14ac:dyDescent="0.25">
      <c r="A8657" t="s">
        <v>688</v>
      </c>
      <c r="B8657" t="s">
        <v>62</v>
      </c>
      <c r="C8657" s="5" t="str">
        <f>" кв. "&amp;B8657</f>
        <v xml:space="preserve"> кв. 58</v>
      </c>
      <c r="D8657" s="5" t="str">
        <f>CONCATENATE(A8657,C8657)</f>
        <v>Ленинградское шоссе, дом 130 к.2 кв. 58</v>
      </c>
      <c r="E8657" s="3">
        <f>HYPERLINK("https://sao.dolgi.msk.ru/account/1404186176/", 1404186176)</f>
        <v>1404186176</v>
      </c>
      <c r="F8657">
        <v>1685.88</v>
      </c>
    </row>
    <row r="8658" spans="1:6" hidden="1" x14ac:dyDescent="0.25">
      <c r="A8658" t="s">
        <v>688</v>
      </c>
      <c r="B8658" t="s">
        <v>63</v>
      </c>
      <c r="E8658" s="3">
        <f>HYPERLINK("https://sao.dolgi.msk.ru/account/1404186643/", 1404186643)</f>
        <v>1404186643</v>
      </c>
      <c r="F8658">
        <v>-2435.8200000000002</v>
      </c>
    </row>
    <row r="8659" spans="1:6" x14ac:dyDescent="0.25">
      <c r="A8659" t="s">
        <v>688</v>
      </c>
      <c r="B8659" t="s">
        <v>64</v>
      </c>
      <c r="C8659" s="5" t="str">
        <f>" кв. "&amp;B8659</f>
        <v xml:space="preserve"> кв. 60</v>
      </c>
      <c r="D8659" s="5" t="str">
        <f>CONCATENATE(A8659,C8659)</f>
        <v>Ленинградское шоссе, дом 130 к.2 кв. 60</v>
      </c>
      <c r="E8659" s="3">
        <f>HYPERLINK("https://sao.dolgi.msk.ru/account/1404186408/", 1404186408)</f>
        <v>1404186408</v>
      </c>
      <c r="F8659">
        <v>1217.76</v>
      </c>
    </row>
    <row r="8660" spans="1:6" hidden="1" x14ac:dyDescent="0.25">
      <c r="A8660" t="s">
        <v>688</v>
      </c>
      <c r="B8660" t="s">
        <v>65</v>
      </c>
      <c r="E8660" s="3">
        <f>HYPERLINK("https://sao.dolgi.msk.ru/account/1404185464/", 1404185464)</f>
        <v>1404185464</v>
      </c>
      <c r="F8660">
        <v>-1443.03</v>
      </c>
    </row>
    <row r="8661" spans="1:6" x14ac:dyDescent="0.25">
      <c r="A8661" t="s">
        <v>688</v>
      </c>
      <c r="B8661" t="s">
        <v>66</v>
      </c>
      <c r="C8661" s="5" t="str">
        <f>" кв. "&amp;B8661</f>
        <v xml:space="preserve"> кв. 62</v>
      </c>
      <c r="D8661" s="5" t="str">
        <f>CONCATENATE(A8661,C8661)</f>
        <v>Ленинградское шоссе, дом 130 к.2 кв. 62</v>
      </c>
      <c r="E8661" s="3">
        <f>HYPERLINK("https://sao.dolgi.msk.ru/account/1404185763/", 1404185763)</f>
        <v>1404185763</v>
      </c>
      <c r="F8661">
        <v>1708.02</v>
      </c>
    </row>
    <row r="8662" spans="1:6" hidden="1" x14ac:dyDescent="0.25">
      <c r="A8662" t="s">
        <v>688</v>
      </c>
      <c r="B8662" t="s">
        <v>67</v>
      </c>
      <c r="E8662" s="3">
        <f>HYPERLINK("https://sao.dolgi.msk.ru/account/1404186651/", 1404186651)</f>
        <v>1404186651</v>
      </c>
      <c r="F8662">
        <v>-1705.54</v>
      </c>
    </row>
    <row r="8663" spans="1:6" x14ac:dyDescent="0.25">
      <c r="A8663" t="s">
        <v>688</v>
      </c>
      <c r="B8663" t="s">
        <v>68</v>
      </c>
      <c r="C8663" s="5" t="str">
        <f>" кв. "&amp;B8663</f>
        <v xml:space="preserve"> кв. 64</v>
      </c>
      <c r="D8663" s="5" t="str">
        <f>CONCATENATE(A8663,C8663)</f>
        <v>Ленинградское шоссе, дом 130 к.2 кв. 64</v>
      </c>
      <c r="E8663" s="3">
        <f>HYPERLINK("https://sao.dolgi.msk.ru/account/1404186491/", 1404186491)</f>
        <v>1404186491</v>
      </c>
      <c r="F8663">
        <v>1701.69</v>
      </c>
    </row>
    <row r="8664" spans="1:6" hidden="1" x14ac:dyDescent="0.25">
      <c r="A8664" t="s">
        <v>688</v>
      </c>
      <c r="B8664" t="s">
        <v>69</v>
      </c>
      <c r="E8664" s="3">
        <f>HYPERLINK("https://sao.dolgi.msk.ru/account/1404186336/", 1404186336)</f>
        <v>1404186336</v>
      </c>
      <c r="F8664">
        <v>-2458.94</v>
      </c>
    </row>
    <row r="8665" spans="1:6" hidden="1" x14ac:dyDescent="0.25">
      <c r="A8665" t="s">
        <v>688</v>
      </c>
      <c r="B8665" t="s">
        <v>70</v>
      </c>
      <c r="E8665" s="3">
        <f>HYPERLINK("https://sao.dolgi.msk.ru/account/1404185931/", 1404185931)</f>
        <v>1404185931</v>
      </c>
      <c r="F8665">
        <v>-1677.8</v>
      </c>
    </row>
    <row r="8666" spans="1:6" hidden="1" x14ac:dyDescent="0.25">
      <c r="A8666" t="s">
        <v>688</v>
      </c>
      <c r="B8666" t="s">
        <v>71</v>
      </c>
      <c r="E8666" s="3">
        <f>HYPERLINK("https://sao.dolgi.msk.ru/account/1404185958/", 1404185958)</f>
        <v>1404185958</v>
      </c>
      <c r="F8666">
        <v>-1784.12</v>
      </c>
    </row>
    <row r="8667" spans="1:6" hidden="1" x14ac:dyDescent="0.25">
      <c r="A8667" t="s">
        <v>688</v>
      </c>
      <c r="B8667" t="s">
        <v>72</v>
      </c>
      <c r="E8667" s="3">
        <f>HYPERLINK("https://sao.dolgi.msk.ru/account/1404186539/", 1404186539)</f>
        <v>1404186539</v>
      </c>
      <c r="F8667">
        <v>-2352.63</v>
      </c>
    </row>
    <row r="8668" spans="1:6" x14ac:dyDescent="0.25">
      <c r="A8668" t="s">
        <v>688</v>
      </c>
      <c r="B8668" t="s">
        <v>73</v>
      </c>
      <c r="C8668" s="5" t="str">
        <f t="shared" ref="C8668:C8669" si="374">" кв. "&amp;B8668</f>
        <v xml:space="preserve"> кв. 69</v>
      </c>
      <c r="D8668" s="5" t="str">
        <f>CONCATENATE(A8668,C8668)</f>
        <v>Ленинградское шоссе, дом 130 к.2 кв. 69</v>
      </c>
      <c r="E8668" s="3">
        <f>HYPERLINK("https://sao.dolgi.msk.ru/account/1404185915/", 1404185915)</f>
        <v>1404185915</v>
      </c>
      <c r="F8668">
        <v>852.43</v>
      </c>
    </row>
    <row r="8669" spans="1:6" x14ac:dyDescent="0.25">
      <c r="A8669" t="s">
        <v>688</v>
      </c>
      <c r="B8669" t="s">
        <v>73</v>
      </c>
      <c r="C8669" s="5" t="str">
        <f t="shared" si="374"/>
        <v xml:space="preserve"> кв. 69</v>
      </c>
      <c r="D8669" s="5" t="str">
        <f>CONCATENATE(A8669,C8669)</f>
        <v>Ленинградское шоссе, дом 130 к.2 кв. 69</v>
      </c>
      <c r="E8669" s="3">
        <f>HYPERLINK("https://sao.dolgi.msk.ru/account/1404186379/", 1404186379)</f>
        <v>1404186379</v>
      </c>
      <c r="F8669">
        <v>426.22</v>
      </c>
    </row>
    <row r="8670" spans="1:6" hidden="1" x14ac:dyDescent="0.25">
      <c r="A8670" t="s">
        <v>688</v>
      </c>
      <c r="B8670" t="s">
        <v>74</v>
      </c>
      <c r="E8670" s="3">
        <f>HYPERLINK("https://sao.dolgi.msk.ru/account/1404185448/", 1404185448)</f>
        <v>1404185448</v>
      </c>
      <c r="F8670">
        <v>0</v>
      </c>
    </row>
    <row r="8671" spans="1:6" hidden="1" x14ac:dyDescent="0.25">
      <c r="A8671" t="s">
        <v>688</v>
      </c>
      <c r="B8671" t="s">
        <v>75</v>
      </c>
      <c r="E8671" s="3">
        <f>HYPERLINK("https://sao.dolgi.msk.ru/account/1404186344/", 1404186344)</f>
        <v>1404186344</v>
      </c>
      <c r="F8671">
        <v>-1719.41</v>
      </c>
    </row>
    <row r="8672" spans="1:6" hidden="1" x14ac:dyDescent="0.25">
      <c r="A8672" t="s">
        <v>688</v>
      </c>
      <c r="B8672" t="s">
        <v>76</v>
      </c>
      <c r="E8672" s="3">
        <f>HYPERLINK("https://sao.dolgi.msk.ru/account/1404186352/", 1404186352)</f>
        <v>1404186352</v>
      </c>
      <c r="F8672">
        <v>-2482.0500000000002</v>
      </c>
    </row>
    <row r="8673" spans="1:6" hidden="1" x14ac:dyDescent="0.25">
      <c r="A8673" t="s">
        <v>688</v>
      </c>
      <c r="B8673" t="s">
        <v>77</v>
      </c>
      <c r="E8673" s="3">
        <f>HYPERLINK("https://sao.dolgi.msk.ru/account/1404186504/", 1404186504)</f>
        <v>1404186504</v>
      </c>
      <c r="F8673">
        <v>-2445.0700000000002</v>
      </c>
    </row>
    <row r="8674" spans="1:6" hidden="1" x14ac:dyDescent="0.25">
      <c r="A8674" t="s">
        <v>688</v>
      </c>
      <c r="B8674" t="s">
        <v>78</v>
      </c>
      <c r="E8674" s="3">
        <f>HYPERLINK("https://sao.dolgi.msk.ru/account/1404185392/", 1404185392)</f>
        <v>1404185392</v>
      </c>
      <c r="F8674">
        <v>-558.82000000000005</v>
      </c>
    </row>
    <row r="8675" spans="1:6" hidden="1" x14ac:dyDescent="0.25">
      <c r="A8675" t="s">
        <v>688</v>
      </c>
      <c r="B8675" t="s">
        <v>79</v>
      </c>
      <c r="E8675" s="3">
        <f>HYPERLINK("https://sao.dolgi.msk.ru/account/1404187056/", 1404187056)</f>
        <v>1404187056</v>
      </c>
      <c r="F8675">
        <v>-2348</v>
      </c>
    </row>
    <row r="8676" spans="1:6" hidden="1" x14ac:dyDescent="0.25">
      <c r="A8676" t="s">
        <v>688</v>
      </c>
      <c r="B8676" t="s">
        <v>80</v>
      </c>
      <c r="E8676" s="3">
        <f>HYPERLINK("https://sao.dolgi.msk.ru/account/1404185632/", 1404185632)</f>
        <v>1404185632</v>
      </c>
      <c r="F8676">
        <v>0</v>
      </c>
    </row>
    <row r="8677" spans="1:6" hidden="1" x14ac:dyDescent="0.25">
      <c r="A8677" t="s">
        <v>688</v>
      </c>
      <c r="B8677" t="s">
        <v>81</v>
      </c>
      <c r="E8677" s="3">
        <f>HYPERLINK("https://sao.dolgi.msk.ru/account/1404186707/", 1404186707)</f>
        <v>1404186707</v>
      </c>
      <c r="F8677">
        <v>-817.55</v>
      </c>
    </row>
    <row r="8678" spans="1:6" hidden="1" x14ac:dyDescent="0.25">
      <c r="A8678" t="s">
        <v>688</v>
      </c>
      <c r="B8678" t="s">
        <v>81</v>
      </c>
      <c r="E8678" s="3">
        <f>HYPERLINK("https://sao.dolgi.msk.ru/account/1404186731/", 1404186731)</f>
        <v>1404186731</v>
      </c>
      <c r="F8678">
        <v>-897.24</v>
      </c>
    </row>
    <row r="8679" spans="1:6" hidden="1" x14ac:dyDescent="0.25">
      <c r="A8679" t="s">
        <v>688</v>
      </c>
      <c r="B8679" t="s">
        <v>82</v>
      </c>
      <c r="E8679" s="3">
        <f>HYPERLINK("https://sao.dolgi.msk.ru/account/1404186256/", 1404186256)</f>
        <v>1404186256</v>
      </c>
      <c r="F8679">
        <v>-1719.41</v>
      </c>
    </row>
    <row r="8680" spans="1:6" x14ac:dyDescent="0.25">
      <c r="A8680" t="s">
        <v>688</v>
      </c>
      <c r="B8680" t="s">
        <v>83</v>
      </c>
      <c r="C8680" s="5" t="str">
        <f t="shared" ref="C8680:C8682" si="375">" кв. "&amp;B8680</f>
        <v xml:space="preserve"> кв. 79</v>
      </c>
      <c r="D8680" s="5" t="str">
        <f>CONCATENATE(A8680,C8680)</f>
        <v>Ленинградское шоссе, дом 130 к.2 кв. 79</v>
      </c>
      <c r="E8680" s="3">
        <f>HYPERLINK("https://sao.dolgi.msk.ru/account/1404186467/", 1404186467)</f>
        <v>1404186467</v>
      </c>
      <c r="F8680">
        <v>1704.86</v>
      </c>
    </row>
    <row r="8681" spans="1:6" x14ac:dyDescent="0.25">
      <c r="A8681" t="s">
        <v>688</v>
      </c>
      <c r="B8681" t="s">
        <v>84</v>
      </c>
      <c r="C8681" s="5" t="str">
        <f t="shared" si="375"/>
        <v xml:space="preserve"> кв. 80</v>
      </c>
      <c r="D8681" s="5" t="str">
        <f>CONCATENATE(A8681,C8681)</f>
        <v>Ленинградское шоссе, дом 130 к.2 кв. 80</v>
      </c>
      <c r="E8681" s="3">
        <f>HYPERLINK("https://sao.dolgi.msk.ru/account/1404186061/", 1404186061)</f>
        <v>1404186061</v>
      </c>
      <c r="F8681">
        <v>1663.74</v>
      </c>
    </row>
    <row r="8682" spans="1:6" x14ac:dyDescent="0.25">
      <c r="A8682" t="s">
        <v>688</v>
      </c>
      <c r="B8682" t="s">
        <v>85</v>
      </c>
      <c r="C8682" s="5" t="str">
        <f t="shared" si="375"/>
        <v xml:space="preserve"> кв. 81</v>
      </c>
      <c r="D8682" s="5" t="str">
        <f>CONCATENATE(A8682,C8682)</f>
        <v>Ленинградское шоссе, дом 130 к.2 кв. 81</v>
      </c>
      <c r="E8682" s="3">
        <f>HYPERLINK("https://sao.dolgi.msk.ru/account/1404185544/", 1404185544)</f>
        <v>1404185544</v>
      </c>
      <c r="F8682">
        <v>1224.08</v>
      </c>
    </row>
    <row r="8683" spans="1:6" hidden="1" x14ac:dyDescent="0.25">
      <c r="A8683" t="s">
        <v>688</v>
      </c>
      <c r="B8683" t="s">
        <v>86</v>
      </c>
      <c r="E8683" s="3">
        <f>HYPERLINK("https://sao.dolgi.msk.ru/account/1404186475/", 1404186475)</f>
        <v>1404186475</v>
      </c>
      <c r="F8683">
        <v>-2102.64</v>
      </c>
    </row>
    <row r="8684" spans="1:6" hidden="1" x14ac:dyDescent="0.25">
      <c r="A8684" t="s">
        <v>688</v>
      </c>
      <c r="B8684" t="s">
        <v>87</v>
      </c>
      <c r="E8684" s="3">
        <f>HYPERLINK("https://sao.dolgi.msk.ru/account/1404186993/", 1404186993)</f>
        <v>1404186993</v>
      </c>
      <c r="F8684">
        <v>-2223.71</v>
      </c>
    </row>
    <row r="8685" spans="1:6" hidden="1" x14ac:dyDescent="0.25">
      <c r="A8685" t="s">
        <v>688</v>
      </c>
      <c r="B8685" t="s">
        <v>88</v>
      </c>
      <c r="E8685" s="3">
        <f>HYPERLINK("https://sao.dolgi.msk.ru/account/1404187005/", 1404187005)</f>
        <v>1404187005</v>
      </c>
      <c r="F8685">
        <v>-2472.81</v>
      </c>
    </row>
    <row r="8686" spans="1:6" hidden="1" x14ac:dyDescent="0.25">
      <c r="A8686" t="s">
        <v>688</v>
      </c>
      <c r="B8686" t="s">
        <v>89</v>
      </c>
      <c r="E8686" s="3">
        <f>HYPERLINK("https://sao.dolgi.msk.ru/account/1404187013/", 1404187013)</f>
        <v>1404187013</v>
      </c>
      <c r="F8686">
        <v>-2121.14</v>
      </c>
    </row>
    <row r="8687" spans="1:6" hidden="1" x14ac:dyDescent="0.25">
      <c r="A8687" t="s">
        <v>688</v>
      </c>
      <c r="B8687" t="s">
        <v>90</v>
      </c>
      <c r="E8687" s="3">
        <f>HYPERLINK("https://sao.dolgi.msk.ru/account/1404186889/", 1404186889)</f>
        <v>1404186889</v>
      </c>
      <c r="F8687">
        <v>-2482.0500000000002</v>
      </c>
    </row>
    <row r="8688" spans="1:6" hidden="1" x14ac:dyDescent="0.25">
      <c r="A8688" t="s">
        <v>688</v>
      </c>
      <c r="B8688" t="s">
        <v>91</v>
      </c>
      <c r="E8688" s="3">
        <f>HYPERLINK("https://sao.dolgi.msk.ru/account/1404186416/", 1404186416)</f>
        <v>1404186416</v>
      </c>
      <c r="F8688">
        <v>0</v>
      </c>
    </row>
    <row r="8689" spans="1:6" hidden="1" x14ac:dyDescent="0.25">
      <c r="A8689" t="s">
        <v>688</v>
      </c>
      <c r="B8689" t="s">
        <v>92</v>
      </c>
      <c r="E8689" s="3">
        <f>HYPERLINK("https://sao.dolgi.msk.ru/account/1404186758/", 1404186758)</f>
        <v>1404186758</v>
      </c>
      <c r="F8689">
        <v>-915.69</v>
      </c>
    </row>
    <row r="8690" spans="1:6" x14ac:dyDescent="0.25">
      <c r="A8690" t="s">
        <v>688</v>
      </c>
      <c r="B8690" t="s">
        <v>93</v>
      </c>
      <c r="C8690" s="5" t="str">
        <f>" кв. "&amp;B8690</f>
        <v xml:space="preserve"> кв. 89</v>
      </c>
      <c r="D8690" s="5" t="str">
        <f>CONCATENATE(A8690,C8690)</f>
        <v>Ленинградское шоссе, дом 130 к.2 кв. 89</v>
      </c>
      <c r="E8690" s="3">
        <f>HYPERLINK("https://sao.dolgi.msk.ru/account/1404186918/", 1404186918)</f>
        <v>1404186918</v>
      </c>
      <c r="F8690">
        <v>1606.8</v>
      </c>
    </row>
    <row r="8691" spans="1:6" hidden="1" x14ac:dyDescent="0.25">
      <c r="A8691" t="s">
        <v>688</v>
      </c>
      <c r="B8691" t="s">
        <v>94</v>
      </c>
      <c r="E8691" s="3">
        <f>HYPERLINK("https://sao.dolgi.msk.ru/account/1404185472/", 1404185472)</f>
        <v>1404185472</v>
      </c>
      <c r="F8691">
        <v>-2482.0500000000002</v>
      </c>
    </row>
    <row r="8692" spans="1:6" hidden="1" x14ac:dyDescent="0.25">
      <c r="A8692" t="s">
        <v>688</v>
      </c>
      <c r="B8692" t="s">
        <v>95</v>
      </c>
      <c r="E8692" s="3">
        <f>HYPERLINK("https://sao.dolgi.msk.ru/account/1404186547/", 1404186547)</f>
        <v>1404186547</v>
      </c>
      <c r="F8692">
        <v>-2070.8200000000002</v>
      </c>
    </row>
    <row r="8693" spans="1:6" hidden="1" x14ac:dyDescent="0.25">
      <c r="A8693" t="s">
        <v>688</v>
      </c>
      <c r="B8693" t="s">
        <v>96</v>
      </c>
      <c r="E8693" s="3">
        <f>HYPERLINK("https://sao.dolgi.msk.ru/account/1404185966/", 1404185966)</f>
        <v>1404185966</v>
      </c>
      <c r="F8693">
        <v>0</v>
      </c>
    </row>
    <row r="8694" spans="1:6" hidden="1" x14ac:dyDescent="0.25">
      <c r="A8694" t="s">
        <v>688</v>
      </c>
      <c r="B8694" t="s">
        <v>97</v>
      </c>
      <c r="E8694" s="3">
        <f>HYPERLINK("https://sao.dolgi.msk.ru/account/1404185974/", 1404185974)</f>
        <v>1404185974</v>
      </c>
      <c r="F8694">
        <v>-2482.0500000000002</v>
      </c>
    </row>
    <row r="8695" spans="1:6" x14ac:dyDescent="0.25">
      <c r="A8695" t="s">
        <v>688</v>
      </c>
      <c r="B8695" t="s">
        <v>98</v>
      </c>
      <c r="C8695" s="5" t="str">
        <f>" кв. "&amp;B8695</f>
        <v xml:space="preserve"> кв. 94</v>
      </c>
      <c r="D8695" s="5" t="str">
        <f>CONCATENATE(A8695,C8695)</f>
        <v>Ленинградское шоссе, дом 130 к.2 кв. 94</v>
      </c>
      <c r="E8695" s="3">
        <f>HYPERLINK("https://sao.dolgi.msk.ru/account/1404187099/", 1404187099)</f>
        <v>1404187099</v>
      </c>
      <c r="F8695">
        <v>1666.9</v>
      </c>
    </row>
    <row r="8696" spans="1:6" hidden="1" x14ac:dyDescent="0.25">
      <c r="A8696" t="s">
        <v>688</v>
      </c>
      <c r="B8696" t="s">
        <v>99</v>
      </c>
      <c r="E8696" s="3">
        <f>HYPERLINK("https://sao.dolgi.msk.ru/account/1404187101/", 1404187101)</f>
        <v>1404187101</v>
      </c>
      <c r="F8696">
        <v>-1779.5</v>
      </c>
    </row>
    <row r="8697" spans="1:6" hidden="1" x14ac:dyDescent="0.25">
      <c r="A8697" t="s">
        <v>688</v>
      </c>
      <c r="B8697" t="s">
        <v>100</v>
      </c>
      <c r="E8697" s="3">
        <f>HYPERLINK("https://sao.dolgi.msk.ru/account/1404186248/", 1404186248)</f>
        <v>1404186248</v>
      </c>
      <c r="F8697">
        <v>-1463.29</v>
      </c>
    </row>
    <row r="8698" spans="1:6" hidden="1" x14ac:dyDescent="0.25">
      <c r="A8698" t="s">
        <v>688</v>
      </c>
      <c r="B8698" t="s">
        <v>101</v>
      </c>
      <c r="E8698" s="3">
        <f>HYPERLINK("https://sao.dolgi.msk.ru/account/1404186897/", 1404186897)</f>
        <v>1404186897</v>
      </c>
      <c r="F8698">
        <v>-2495.92</v>
      </c>
    </row>
    <row r="8699" spans="1:6" x14ac:dyDescent="0.25">
      <c r="A8699" t="s">
        <v>688</v>
      </c>
      <c r="B8699" t="s">
        <v>102</v>
      </c>
      <c r="C8699" s="5" t="str">
        <f>" кв. "&amp;B8699</f>
        <v xml:space="preserve"> кв. 98</v>
      </c>
      <c r="D8699" s="5" t="str">
        <f>CONCATENATE(A8699,C8699)</f>
        <v>Ленинградское шоссе, дом 130 к.2 кв. 98</v>
      </c>
      <c r="E8699" s="3">
        <f>HYPERLINK("https://sao.dolgi.msk.ru/account/1404186985/", 1404186985)</f>
        <v>1404186985</v>
      </c>
      <c r="F8699">
        <v>1692.2</v>
      </c>
    </row>
    <row r="8700" spans="1:6" hidden="1" x14ac:dyDescent="0.25">
      <c r="A8700" t="s">
        <v>688</v>
      </c>
      <c r="B8700" t="s">
        <v>103</v>
      </c>
      <c r="E8700" s="3">
        <f>HYPERLINK("https://sao.dolgi.msk.ru/account/1404186459/", 1404186459)</f>
        <v>1404186459</v>
      </c>
      <c r="F8700">
        <v>-2482.0500000000002</v>
      </c>
    </row>
    <row r="8701" spans="1:6" x14ac:dyDescent="0.25">
      <c r="A8701" t="s">
        <v>688</v>
      </c>
      <c r="B8701" t="s">
        <v>104</v>
      </c>
      <c r="C8701" s="5" t="str">
        <f t="shared" ref="C8701:C8702" si="376">" кв. "&amp;B8701</f>
        <v xml:space="preserve"> кв. 100</v>
      </c>
      <c r="D8701" s="5" t="str">
        <f>CONCATENATE(A8701,C8701)</f>
        <v>Ленинградское шоссе, дом 130 к.2 кв. 100</v>
      </c>
      <c r="E8701" s="3">
        <f>HYPERLINK("https://sao.dolgi.msk.ru/account/1404186213/", 1404186213)</f>
        <v>1404186213</v>
      </c>
      <c r="F8701">
        <v>849.26</v>
      </c>
    </row>
    <row r="8702" spans="1:6" x14ac:dyDescent="0.25">
      <c r="A8702" t="s">
        <v>688</v>
      </c>
      <c r="B8702" t="s">
        <v>105</v>
      </c>
      <c r="C8702" s="5" t="str">
        <f t="shared" si="376"/>
        <v xml:space="preserve"> кв. 101</v>
      </c>
      <c r="D8702" s="5" t="str">
        <f>CONCATENATE(A8702,C8702)</f>
        <v>Ленинградское шоссе, дом 130 к.2 кв. 101</v>
      </c>
      <c r="E8702" s="3">
        <f>HYPERLINK("https://sao.dolgi.msk.ru/account/1404186221/", 1404186221)</f>
        <v>1404186221</v>
      </c>
      <c r="F8702">
        <v>1666.9</v>
      </c>
    </row>
    <row r="8703" spans="1:6" hidden="1" x14ac:dyDescent="0.25">
      <c r="A8703" t="s">
        <v>688</v>
      </c>
      <c r="B8703" t="s">
        <v>106</v>
      </c>
      <c r="E8703" s="3">
        <f>HYPERLINK("https://sao.dolgi.msk.ru/account/1404186854/", 1404186854)</f>
        <v>1404186854</v>
      </c>
      <c r="F8703">
        <v>0</v>
      </c>
    </row>
    <row r="8704" spans="1:6" x14ac:dyDescent="0.25">
      <c r="A8704" t="s">
        <v>688</v>
      </c>
      <c r="B8704" t="s">
        <v>107</v>
      </c>
      <c r="C8704" s="5" t="str">
        <f>" кв. "&amp;B8704</f>
        <v xml:space="preserve"> кв. 103</v>
      </c>
      <c r="D8704" s="5" t="str">
        <f>CONCATENATE(A8704,C8704)</f>
        <v>Ленинградское шоссе, дом 130 к.2 кв. 103</v>
      </c>
      <c r="E8704" s="3">
        <f>HYPERLINK("https://sao.dolgi.msk.ru/account/1404185659/", 1404185659)</f>
        <v>1404185659</v>
      </c>
      <c r="F8704">
        <v>1606.8</v>
      </c>
    </row>
    <row r="8705" spans="1:6" hidden="1" x14ac:dyDescent="0.25">
      <c r="A8705" t="s">
        <v>688</v>
      </c>
      <c r="B8705" t="s">
        <v>108</v>
      </c>
      <c r="E8705" s="3">
        <f>HYPERLINK("https://sao.dolgi.msk.ru/account/1404185667/", 1404185667)</f>
        <v>1404185667</v>
      </c>
      <c r="F8705">
        <v>-2505.17</v>
      </c>
    </row>
    <row r="8706" spans="1:6" x14ac:dyDescent="0.25">
      <c r="A8706" t="s">
        <v>688</v>
      </c>
      <c r="B8706" t="s">
        <v>109</v>
      </c>
      <c r="C8706" s="5" t="str">
        <f>" кв. "&amp;B8706</f>
        <v xml:space="preserve"> кв. 105</v>
      </c>
      <c r="D8706" s="5" t="str">
        <f>CONCATENATE(A8706,C8706)</f>
        <v>Ленинградское шоссе, дом 130 к.2 кв. 105</v>
      </c>
      <c r="E8706" s="3">
        <f>HYPERLINK("https://sao.dolgi.msk.ru/account/1404186037/", 1404186037)</f>
        <v>1404186037</v>
      </c>
      <c r="F8706">
        <v>1692.21</v>
      </c>
    </row>
    <row r="8707" spans="1:6" hidden="1" x14ac:dyDescent="0.25">
      <c r="A8707" t="s">
        <v>688</v>
      </c>
      <c r="B8707" t="s">
        <v>110</v>
      </c>
      <c r="E8707" s="3">
        <f>HYPERLINK("https://sao.dolgi.msk.ru/account/1404185405/", 1404185405)</f>
        <v>1404185405</v>
      </c>
      <c r="F8707">
        <v>-2241.31</v>
      </c>
    </row>
    <row r="8708" spans="1:6" x14ac:dyDescent="0.25">
      <c r="A8708" t="s">
        <v>688</v>
      </c>
      <c r="B8708" t="s">
        <v>111</v>
      </c>
      <c r="C8708" s="5" t="str">
        <f t="shared" ref="C8708:C8709" si="377">" кв. "&amp;B8708</f>
        <v xml:space="preserve"> кв. 107</v>
      </c>
      <c r="D8708" s="5" t="str">
        <f>CONCATENATE(A8708,C8708)</f>
        <v>Ленинградское шоссе, дом 130 к.2 кв. 107</v>
      </c>
      <c r="E8708" s="3">
        <f>HYPERLINK("https://sao.dolgi.msk.ru/account/1404186387/", 1404186387)</f>
        <v>1404186387</v>
      </c>
      <c r="F8708">
        <v>648.74</v>
      </c>
    </row>
    <row r="8709" spans="1:6" x14ac:dyDescent="0.25">
      <c r="A8709" t="s">
        <v>688</v>
      </c>
      <c r="B8709" t="s">
        <v>112</v>
      </c>
      <c r="C8709" s="5" t="str">
        <f t="shared" si="377"/>
        <v xml:space="preserve"> кв. 108</v>
      </c>
      <c r="D8709" s="5" t="str">
        <f>CONCATENATE(A8709,C8709)</f>
        <v>Ленинградское шоссе, дом 130 к.2 кв. 108</v>
      </c>
      <c r="E8709" s="3">
        <f>HYPERLINK("https://sao.dolgi.msk.ru/account/1404185675/", 1404185675)</f>
        <v>1404185675</v>
      </c>
      <c r="F8709">
        <v>1141.8399999999999</v>
      </c>
    </row>
    <row r="8710" spans="1:6" hidden="1" x14ac:dyDescent="0.25">
      <c r="A8710" t="s">
        <v>688</v>
      </c>
      <c r="B8710" t="s">
        <v>113</v>
      </c>
      <c r="E8710" s="3">
        <f>HYPERLINK("https://sao.dolgi.msk.ru/account/1404185683/", 1404185683)</f>
        <v>1404185683</v>
      </c>
      <c r="F8710">
        <v>-1774.87</v>
      </c>
    </row>
    <row r="8711" spans="1:6" hidden="1" x14ac:dyDescent="0.25">
      <c r="A8711" t="s">
        <v>688</v>
      </c>
      <c r="B8711" t="s">
        <v>114</v>
      </c>
      <c r="E8711" s="3">
        <f>HYPERLINK("https://sao.dolgi.msk.ru/account/1404187064/", 1404187064)</f>
        <v>1404187064</v>
      </c>
      <c r="F8711">
        <v>-1214.76</v>
      </c>
    </row>
    <row r="8712" spans="1:6" hidden="1" x14ac:dyDescent="0.25">
      <c r="A8712" t="s">
        <v>688</v>
      </c>
      <c r="B8712" t="s">
        <v>115</v>
      </c>
      <c r="E8712" s="3">
        <f>HYPERLINK("https://sao.dolgi.msk.ru/account/1404185413/", 1404185413)</f>
        <v>1404185413</v>
      </c>
      <c r="F8712">
        <v>-2113.65</v>
      </c>
    </row>
    <row r="8713" spans="1:6" hidden="1" x14ac:dyDescent="0.25">
      <c r="A8713" t="s">
        <v>688</v>
      </c>
      <c r="B8713" t="s">
        <v>116</v>
      </c>
      <c r="E8713" s="3">
        <f>HYPERLINK("https://sao.dolgi.msk.ru/account/1404187072/", 1404187072)</f>
        <v>1404187072</v>
      </c>
      <c r="F8713">
        <v>-2472.81</v>
      </c>
    </row>
    <row r="8714" spans="1:6" hidden="1" x14ac:dyDescent="0.25">
      <c r="A8714" t="s">
        <v>688</v>
      </c>
      <c r="B8714" t="s">
        <v>117</v>
      </c>
      <c r="E8714" s="3">
        <f>HYPERLINK("https://sao.dolgi.msk.ru/account/1404185691/", 1404185691)</f>
        <v>1404185691</v>
      </c>
      <c r="F8714">
        <v>-1727.97</v>
      </c>
    </row>
    <row r="8715" spans="1:6" x14ac:dyDescent="0.25">
      <c r="A8715" t="s">
        <v>688</v>
      </c>
      <c r="B8715" t="s">
        <v>118</v>
      </c>
      <c r="C8715" s="5" t="str">
        <f>" кв. "&amp;B8715</f>
        <v xml:space="preserve"> кв. 114</v>
      </c>
      <c r="D8715" s="5" t="str">
        <f>CONCATENATE(A8715,C8715)</f>
        <v>Ленинградское шоссе, дом 130 к.2 кв. 114</v>
      </c>
      <c r="E8715" s="3">
        <f>HYPERLINK("https://sao.dolgi.msk.ru/account/1404187187/", 1404187187)</f>
        <v>1404187187</v>
      </c>
      <c r="F8715">
        <v>1799.75</v>
      </c>
    </row>
    <row r="8716" spans="1:6" hidden="1" x14ac:dyDescent="0.25">
      <c r="A8716" t="s">
        <v>688</v>
      </c>
      <c r="B8716" t="s">
        <v>119</v>
      </c>
      <c r="E8716" s="3">
        <f>HYPERLINK("https://sao.dolgi.msk.ru/account/1404185907/", 1404185907)</f>
        <v>1404185907</v>
      </c>
      <c r="F8716">
        <v>0</v>
      </c>
    </row>
    <row r="8717" spans="1:6" hidden="1" x14ac:dyDescent="0.25">
      <c r="A8717" t="s">
        <v>688</v>
      </c>
      <c r="B8717" t="s">
        <v>120</v>
      </c>
      <c r="E8717" s="3">
        <f>HYPERLINK("https://sao.dolgi.msk.ru/account/1404186328/", 1404186328)</f>
        <v>1404186328</v>
      </c>
      <c r="F8717">
        <v>-1774.87</v>
      </c>
    </row>
    <row r="8718" spans="1:6" hidden="1" x14ac:dyDescent="0.25">
      <c r="A8718" t="s">
        <v>688</v>
      </c>
      <c r="B8718" t="s">
        <v>121</v>
      </c>
      <c r="E8718" s="3">
        <f>HYPERLINK("https://sao.dolgi.msk.ru/account/1404185704/", 1404185704)</f>
        <v>1404185704</v>
      </c>
      <c r="F8718">
        <v>-2486.67</v>
      </c>
    </row>
    <row r="8719" spans="1:6" hidden="1" x14ac:dyDescent="0.25">
      <c r="A8719" t="s">
        <v>688</v>
      </c>
      <c r="B8719" t="s">
        <v>122</v>
      </c>
      <c r="E8719" s="3">
        <f>HYPERLINK("https://sao.dolgi.msk.ru/account/1404185712/", 1404185712)</f>
        <v>1404185712</v>
      </c>
      <c r="F8719">
        <v>-2662.31</v>
      </c>
    </row>
    <row r="8720" spans="1:6" x14ac:dyDescent="0.25">
      <c r="A8720" t="s">
        <v>688</v>
      </c>
      <c r="B8720" t="s">
        <v>123</v>
      </c>
      <c r="C8720" s="5" t="str">
        <f t="shared" ref="C8720:C8721" si="378">" кв. "&amp;B8720</f>
        <v xml:space="preserve"> кв. 119</v>
      </c>
      <c r="D8720" s="5" t="str">
        <f>CONCATENATE(A8720,C8720)</f>
        <v>Ленинградское шоссе, дом 130 к.2 кв. 119</v>
      </c>
      <c r="E8720" s="3">
        <f>HYPERLINK("https://sao.dolgi.msk.ru/account/1404187128/", 1404187128)</f>
        <v>1404187128</v>
      </c>
      <c r="F8720">
        <v>1802.91</v>
      </c>
    </row>
    <row r="8721" spans="1:6" x14ac:dyDescent="0.25">
      <c r="A8721" t="s">
        <v>688</v>
      </c>
      <c r="B8721" t="s">
        <v>124</v>
      </c>
      <c r="C8721" s="5" t="str">
        <f t="shared" si="378"/>
        <v xml:space="preserve"> кв. 120</v>
      </c>
      <c r="D8721" s="5" t="str">
        <f>CONCATENATE(A8721,C8721)</f>
        <v>Ленинградское шоссе, дом 130 к.2 кв. 120</v>
      </c>
      <c r="E8721" s="3">
        <f>HYPERLINK("https://sao.dolgi.msk.ru/account/1404186555/", 1404186555)</f>
        <v>1404186555</v>
      </c>
      <c r="F8721">
        <v>1831.38</v>
      </c>
    </row>
    <row r="8722" spans="1:6" hidden="1" x14ac:dyDescent="0.25">
      <c r="A8722" t="s">
        <v>688</v>
      </c>
      <c r="B8722" t="s">
        <v>125</v>
      </c>
      <c r="E8722" s="3">
        <f>HYPERLINK("https://sao.dolgi.msk.ru/account/1404186141/", 1404186141)</f>
        <v>1404186141</v>
      </c>
      <c r="F8722">
        <v>-1544.44</v>
      </c>
    </row>
    <row r="8723" spans="1:6" hidden="1" x14ac:dyDescent="0.25">
      <c r="A8723" t="s">
        <v>688</v>
      </c>
      <c r="B8723" t="s">
        <v>126</v>
      </c>
      <c r="E8723" s="3">
        <f>HYPERLINK("https://sao.dolgi.msk.ru/account/1404186053/", 1404186053)</f>
        <v>1404186053</v>
      </c>
      <c r="F8723">
        <v>-2574.4899999999998</v>
      </c>
    </row>
    <row r="8724" spans="1:6" hidden="1" x14ac:dyDescent="0.25">
      <c r="A8724" t="s">
        <v>688</v>
      </c>
      <c r="B8724" t="s">
        <v>127</v>
      </c>
      <c r="E8724" s="3">
        <f>HYPERLINK("https://sao.dolgi.msk.ru/account/1404187136/", 1404187136)</f>
        <v>1404187136</v>
      </c>
      <c r="F8724">
        <v>-1534.13</v>
      </c>
    </row>
    <row r="8725" spans="1:6" hidden="1" x14ac:dyDescent="0.25">
      <c r="A8725" t="s">
        <v>688</v>
      </c>
      <c r="B8725" t="s">
        <v>128</v>
      </c>
      <c r="E8725" s="3">
        <f>HYPERLINK("https://sao.dolgi.msk.ru/account/1404186168/", 1404186168)</f>
        <v>1404186168</v>
      </c>
      <c r="F8725">
        <v>-2491.3000000000002</v>
      </c>
    </row>
    <row r="8726" spans="1:6" x14ac:dyDescent="0.25">
      <c r="A8726" t="s">
        <v>688</v>
      </c>
      <c r="B8726" t="s">
        <v>129</v>
      </c>
      <c r="C8726" s="5" t="str">
        <f>" кв. "&amp;B8726</f>
        <v xml:space="preserve"> кв. 125</v>
      </c>
      <c r="D8726" s="5" t="str">
        <f>CONCATENATE(A8726,C8726)</f>
        <v>Ленинградское шоссе, дом 130 к.2 кв. 125</v>
      </c>
      <c r="E8726" s="3">
        <f>HYPERLINK("https://sao.dolgi.msk.ru/account/1404186563/", 1404186563)</f>
        <v>1404186563</v>
      </c>
      <c r="F8726">
        <v>1828.21</v>
      </c>
    </row>
    <row r="8727" spans="1:6" hidden="1" x14ac:dyDescent="0.25">
      <c r="A8727" t="s">
        <v>688</v>
      </c>
      <c r="B8727" t="s">
        <v>130</v>
      </c>
      <c r="E8727" s="3">
        <f>HYPERLINK("https://sao.dolgi.msk.ru/account/1404186272/", 1404186272)</f>
        <v>1404186272</v>
      </c>
      <c r="F8727">
        <v>-2210.96</v>
      </c>
    </row>
    <row r="8728" spans="1:6" hidden="1" x14ac:dyDescent="0.25">
      <c r="A8728" t="s">
        <v>688</v>
      </c>
      <c r="B8728" t="s">
        <v>131</v>
      </c>
      <c r="E8728" s="3">
        <f>HYPERLINK("https://sao.dolgi.msk.ru/account/1404185886/", 1404185886)</f>
        <v>1404185886</v>
      </c>
      <c r="F8728">
        <v>-2245.9899999999998</v>
      </c>
    </row>
    <row r="8729" spans="1:6" hidden="1" x14ac:dyDescent="0.25">
      <c r="A8729" t="s">
        <v>688</v>
      </c>
      <c r="B8729" t="s">
        <v>132</v>
      </c>
      <c r="E8729" s="3">
        <f>HYPERLINK("https://sao.dolgi.msk.ru/account/1404186803/", 1404186803)</f>
        <v>1404186803</v>
      </c>
      <c r="F8729">
        <v>-2648.44</v>
      </c>
    </row>
    <row r="8730" spans="1:6" hidden="1" x14ac:dyDescent="0.25">
      <c r="A8730" t="s">
        <v>688</v>
      </c>
      <c r="B8730" t="s">
        <v>133</v>
      </c>
      <c r="E8730" s="3">
        <f>HYPERLINK("https://sao.dolgi.msk.ru/account/1404186782/", 1404186782)</f>
        <v>1404186782</v>
      </c>
      <c r="F8730">
        <v>-2583.73</v>
      </c>
    </row>
    <row r="8731" spans="1:6" x14ac:dyDescent="0.25">
      <c r="A8731" t="s">
        <v>688</v>
      </c>
      <c r="B8731" t="s">
        <v>134</v>
      </c>
      <c r="C8731" s="5" t="str">
        <f>" кв. "&amp;B8731</f>
        <v xml:space="preserve"> кв. 130</v>
      </c>
      <c r="D8731" s="5" t="str">
        <f>CONCATENATE(A8731,C8731)</f>
        <v>Ленинградское шоссе, дом 130 к.2 кв. 130</v>
      </c>
      <c r="E8731" s="3">
        <f>HYPERLINK("https://sao.dolgi.msk.ru/account/1404185579/", 1404185579)</f>
        <v>1404185579</v>
      </c>
      <c r="F8731">
        <v>1217.76</v>
      </c>
    </row>
    <row r="8732" spans="1:6" hidden="1" x14ac:dyDescent="0.25">
      <c r="A8732" t="s">
        <v>688</v>
      </c>
      <c r="B8732" t="s">
        <v>135</v>
      </c>
      <c r="E8732" s="3">
        <f>HYPERLINK("https://sao.dolgi.msk.ru/account/1404186109/", 1404186109)</f>
        <v>1404186109</v>
      </c>
      <c r="F8732">
        <v>-2477.4299999999998</v>
      </c>
    </row>
    <row r="8733" spans="1:6" hidden="1" x14ac:dyDescent="0.25">
      <c r="A8733" t="s">
        <v>688</v>
      </c>
      <c r="B8733" t="s">
        <v>136</v>
      </c>
      <c r="E8733" s="3">
        <f>HYPERLINK("https://sao.dolgi.msk.ru/account/1404185587/", 1404185587)</f>
        <v>1404185587</v>
      </c>
      <c r="F8733">
        <v>-2662.31</v>
      </c>
    </row>
    <row r="8734" spans="1:6" x14ac:dyDescent="0.25">
      <c r="A8734" t="s">
        <v>688</v>
      </c>
      <c r="B8734" t="s">
        <v>137</v>
      </c>
      <c r="C8734" s="5" t="str">
        <f t="shared" ref="C8734:C8735" si="379">" кв. "&amp;B8734</f>
        <v xml:space="preserve"> кв. 133</v>
      </c>
      <c r="D8734" s="5" t="str">
        <f>CONCATENATE(A8734,C8734)</f>
        <v>Ленинградское шоссе, дом 130 к.2 кв. 133</v>
      </c>
      <c r="E8734" s="3">
        <f>HYPERLINK("https://sao.dolgi.msk.ru/account/1404186117/", 1404186117)</f>
        <v>1404186117</v>
      </c>
      <c r="F8734">
        <v>1793.42</v>
      </c>
    </row>
    <row r="8735" spans="1:6" x14ac:dyDescent="0.25">
      <c r="A8735" t="s">
        <v>688</v>
      </c>
      <c r="B8735" t="s">
        <v>138</v>
      </c>
      <c r="C8735" s="5" t="str">
        <f t="shared" si="379"/>
        <v xml:space="preserve"> кв. 134</v>
      </c>
      <c r="D8735" s="5" t="str">
        <f>CONCATENATE(A8735,C8735)</f>
        <v>Ленинградское шоссе, дом 130 к.2 кв. 134</v>
      </c>
      <c r="E8735" s="3">
        <f>HYPERLINK("https://sao.dolgi.msk.ru/account/1404185595/", 1404185595)</f>
        <v>1404185595</v>
      </c>
      <c r="F8735">
        <v>1815.56</v>
      </c>
    </row>
    <row r="8736" spans="1:6" hidden="1" x14ac:dyDescent="0.25">
      <c r="A8736" t="s">
        <v>688</v>
      </c>
      <c r="B8736" t="s">
        <v>139</v>
      </c>
      <c r="E8736" s="3">
        <f>HYPERLINK("https://sao.dolgi.msk.ru/account/1404186299/", 1404186299)</f>
        <v>1404186299</v>
      </c>
      <c r="F8736">
        <v>-2653.06</v>
      </c>
    </row>
    <row r="8737" spans="1:6" hidden="1" x14ac:dyDescent="0.25">
      <c r="A8737" t="s">
        <v>688</v>
      </c>
      <c r="B8737" t="s">
        <v>140</v>
      </c>
      <c r="E8737" s="3">
        <f>HYPERLINK("https://sao.dolgi.msk.ru/account/1404186432/", 1404186432)</f>
        <v>1404186432</v>
      </c>
      <c r="F8737">
        <v>-2583.7399999999998</v>
      </c>
    </row>
    <row r="8738" spans="1:6" x14ac:dyDescent="0.25">
      <c r="A8738" t="s">
        <v>688</v>
      </c>
      <c r="B8738" t="s">
        <v>141</v>
      </c>
      <c r="C8738" s="5" t="str">
        <f>" кв. "&amp;B8738</f>
        <v xml:space="preserve"> кв. 137</v>
      </c>
      <c r="D8738" s="5" t="str">
        <f>CONCATENATE(A8738,C8738)</f>
        <v>Ленинградское шоссе, дом 130 к.2 кв. 137</v>
      </c>
      <c r="E8738" s="3">
        <f>HYPERLINK("https://sao.dolgi.msk.ru/account/1404185528/", 1404185528)</f>
        <v>1404185528</v>
      </c>
      <c r="F8738">
        <v>1217.76</v>
      </c>
    </row>
    <row r="8739" spans="1:6" hidden="1" x14ac:dyDescent="0.25">
      <c r="A8739" t="s">
        <v>688</v>
      </c>
      <c r="B8739" t="s">
        <v>142</v>
      </c>
      <c r="E8739" s="3">
        <f>HYPERLINK("https://sao.dolgi.msk.ru/account/1404186969/", 1404186969)</f>
        <v>1404186969</v>
      </c>
      <c r="F8739">
        <v>0</v>
      </c>
    </row>
    <row r="8740" spans="1:6" hidden="1" x14ac:dyDescent="0.25">
      <c r="A8740" t="s">
        <v>688</v>
      </c>
      <c r="B8740" t="s">
        <v>143</v>
      </c>
      <c r="E8740" s="3">
        <f>HYPERLINK("https://sao.dolgi.msk.ru/account/1404185827/", 1404185827)</f>
        <v>1404185827</v>
      </c>
      <c r="F8740">
        <v>0</v>
      </c>
    </row>
    <row r="8741" spans="1:6" hidden="1" x14ac:dyDescent="0.25">
      <c r="A8741" t="s">
        <v>688</v>
      </c>
      <c r="B8741" t="s">
        <v>144</v>
      </c>
      <c r="E8741" s="3">
        <f>HYPERLINK("https://sao.dolgi.msk.ru/account/1404185843/", 1404185843)</f>
        <v>1404185843</v>
      </c>
      <c r="F8741">
        <v>-2611.48</v>
      </c>
    </row>
    <row r="8742" spans="1:6" hidden="1" x14ac:dyDescent="0.25">
      <c r="A8742" t="s">
        <v>688</v>
      </c>
      <c r="B8742" t="s">
        <v>145</v>
      </c>
      <c r="E8742" s="3">
        <f>HYPERLINK("https://sao.dolgi.msk.ru/account/1404186192/", 1404186192)</f>
        <v>1404186192</v>
      </c>
      <c r="F8742">
        <v>-1899.67</v>
      </c>
    </row>
    <row r="8743" spans="1:6" hidden="1" x14ac:dyDescent="0.25">
      <c r="A8743" t="s">
        <v>688</v>
      </c>
      <c r="B8743" t="s">
        <v>146</v>
      </c>
      <c r="E8743" s="3">
        <f>HYPERLINK("https://sao.dolgi.msk.ru/account/1404186977/", 1404186977)</f>
        <v>1404186977</v>
      </c>
      <c r="F8743">
        <v>0</v>
      </c>
    </row>
    <row r="8744" spans="1:6" hidden="1" x14ac:dyDescent="0.25">
      <c r="A8744" t="s">
        <v>688</v>
      </c>
      <c r="B8744" t="s">
        <v>147</v>
      </c>
      <c r="E8744" s="3">
        <f>HYPERLINK("https://sao.dolgi.msk.ru/account/1404185851/", 1404185851)</f>
        <v>1404185851</v>
      </c>
      <c r="F8744">
        <v>-2583.7399999999998</v>
      </c>
    </row>
    <row r="8745" spans="1:6" hidden="1" x14ac:dyDescent="0.25">
      <c r="A8745" t="s">
        <v>688</v>
      </c>
      <c r="B8745" t="s">
        <v>148</v>
      </c>
      <c r="E8745" s="3">
        <f>HYPERLINK("https://sao.dolgi.msk.ru/account/1404187048/", 1404187048)</f>
        <v>1404187048</v>
      </c>
      <c r="F8745">
        <v>-1007.61</v>
      </c>
    </row>
    <row r="8746" spans="1:6" x14ac:dyDescent="0.25">
      <c r="A8746" t="s">
        <v>688</v>
      </c>
      <c r="B8746" t="s">
        <v>149</v>
      </c>
      <c r="C8746" s="5" t="str">
        <f t="shared" ref="C8746:C8747" si="380">" кв. "&amp;B8746</f>
        <v xml:space="preserve"> кв. 145</v>
      </c>
      <c r="D8746" s="5" t="str">
        <f>CONCATENATE(A8746,C8746)</f>
        <v>Ленинградское шоссе, дом 130 к.2 кв. 145</v>
      </c>
      <c r="E8746" s="3">
        <f>HYPERLINK("https://sao.dolgi.msk.ru/account/1404186715/", 1404186715)</f>
        <v>1404186715</v>
      </c>
      <c r="F8746">
        <v>1704.86</v>
      </c>
    </row>
    <row r="8747" spans="1:6" x14ac:dyDescent="0.25">
      <c r="A8747" t="s">
        <v>688</v>
      </c>
      <c r="B8747" t="s">
        <v>150</v>
      </c>
      <c r="C8747" s="5" t="str">
        <f t="shared" si="380"/>
        <v xml:space="preserve"> кв. 146</v>
      </c>
      <c r="D8747" s="5" t="str">
        <f>CONCATENATE(A8747,C8747)</f>
        <v>Ленинградское шоссе, дом 130 к.2 кв. 146</v>
      </c>
      <c r="E8747" s="3">
        <f>HYPERLINK("https://sao.dolgi.msk.ru/account/1404186205/", 1404186205)</f>
        <v>1404186205</v>
      </c>
      <c r="F8747">
        <v>1815.56</v>
      </c>
    </row>
    <row r="8748" spans="1:6" hidden="1" x14ac:dyDescent="0.25">
      <c r="A8748" t="s">
        <v>688</v>
      </c>
      <c r="B8748" t="s">
        <v>151</v>
      </c>
      <c r="E8748" s="3">
        <f>HYPERLINK("https://sao.dolgi.msk.ru/account/1404186029/", 1404186029)</f>
        <v>1404186029</v>
      </c>
      <c r="F8748">
        <v>-1729.6</v>
      </c>
    </row>
    <row r="8749" spans="1:6" hidden="1" x14ac:dyDescent="0.25">
      <c r="A8749" t="s">
        <v>689</v>
      </c>
      <c r="B8749" t="s">
        <v>5</v>
      </c>
      <c r="E8749" s="3">
        <f>HYPERLINK("https://sao.dolgi.msk.ru/account/1404171791/", 1404171791)</f>
        <v>1404171791</v>
      </c>
      <c r="F8749">
        <v>0</v>
      </c>
    </row>
    <row r="8750" spans="1:6" x14ac:dyDescent="0.25">
      <c r="A8750" t="s">
        <v>689</v>
      </c>
      <c r="B8750" t="s">
        <v>6</v>
      </c>
      <c r="C8750" s="5" t="str">
        <f>" кв. "&amp;B8750</f>
        <v xml:space="preserve"> кв. 2</v>
      </c>
      <c r="D8750" s="5" t="str">
        <f>CONCATENATE(A8750,C8750)</f>
        <v>Ленинградское шоссе, дом 130 к.3 кв. 2</v>
      </c>
      <c r="E8750" s="3">
        <f>HYPERLINK("https://sao.dolgi.msk.ru/account/1404171759/", 1404171759)</f>
        <v>1404171759</v>
      </c>
      <c r="F8750">
        <v>19775.12</v>
      </c>
    </row>
    <row r="8751" spans="1:6" hidden="1" x14ac:dyDescent="0.25">
      <c r="A8751" t="s">
        <v>689</v>
      </c>
      <c r="B8751" t="s">
        <v>7</v>
      </c>
      <c r="E8751" s="3">
        <f>HYPERLINK("https://sao.dolgi.msk.ru/account/1404171484/", 1404171484)</f>
        <v>1404171484</v>
      </c>
      <c r="F8751">
        <v>-12957.54</v>
      </c>
    </row>
    <row r="8752" spans="1:6" hidden="1" x14ac:dyDescent="0.25">
      <c r="A8752" t="s">
        <v>689</v>
      </c>
      <c r="B8752" t="s">
        <v>8</v>
      </c>
      <c r="E8752" s="3">
        <f>HYPERLINK("https://sao.dolgi.msk.ru/account/1404171839/", 1404171839)</f>
        <v>1404171839</v>
      </c>
      <c r="F8752">
        <v>-8664.61</v>
      </c>
    </row>
    <row r="8753" spans="1:6" hidden="1" x14ac:dyDescent="0.25">
      <c r="A8753" t="s">
        <v>689</v>
      </c>
      <c r="B8753" t="s">
        <v>9</v>
      </c>
      <c r="E8753" s="3">
        <f>HYPERLINK("https://sao.dolgi.msk.ru/account/1404171855/", 1404171855)</f>
        <v>1404171855</v>
      </c>
      <c r="F8753">
        <v>-11882.25</v>
      </c>
    </row>
    <row r="8754" spans="1:6" hidden="1" x14ac:dyDescent="0.25">
      <c r="A8754" t="s">
        <v>689</v>
      </c>
      <c r="B8754" t="s">
        <v>10</v>
      </c>
      <c r="E8754" s="3">
        <f>HYPERLINK("https://sao.dolgi.msk.ru/account/1404171863/", 1404171863)</f>
        <v>1404171863</v>
      </c>
      <c r="F8754">
        <v>-13478.18</v>
      </c>
    </row>
    <row r="8755" spans="1:6" hidden="1" x14ac:dyDescent="0.25">
      <c r="A8755" t="s">
        <v>689</v>
      </c>
      <c r="B8755" t="s">
        <v>11</v>
      </c>
      <c r="E8755" s="3">
        <f>HYPERLINK("https://sao.dolgi.msk.ru/account/1404171898/", 1404171898)</f>
        <v>1404171898</v>
      </c>
      <c r="F8755">
        <v>-6893.33</v>
      </c>
    </row>
    <row r="8756" spans="1:6" hidden="1" x14ac:dyDescent="0.25">
      <c r="A8756" t="s">
        <v>689</v>
      </c>
      <c r="B8756" t="s">
        <v>12</v>
      </c>
      <c r="E8756" s="3">
        <f>HYPERLINK("https://sao.dolgi.msk.ru/account/1404171927/", 1404171927)</f>
        <v>1404171927</v>
      </c>
      <c r="F8756">
        <v>0</v>
      </c>
    </row>
    <row r="8757" spans="1:6" hidden="1" x14ac:dyDescent="0.25">
      <c r="A8757" t="s">
        <v>689</v>
      </c>
      <c r="B8757" t="s">
        <v>13</v>
      </c>
      <c r="E8757" s="3">
        <f>HYPERLINK("https://sao.dolgi.msk.ru/account/1404172065/", 1404172065)</f>
        <v>1404172065</v>
      </c>
      <c r="F8757">
        <v>-11454.06</v>
      </c>
    </row>
    <row r="8758" spans="1:6" x14ac:dyDescent="0.25">
      <c r="A8758" t="s">
        <v>689</v>
      </c>
      <c r="B8758" t="s">
        <v>14</v>
      </c>
      <c r="C8758" s="5" t="str">
        <f t="shared" ref="C8758:C8759" si="381">" кв. "&amp;B8758</f>
        <v xml:space="preserve"> кв. 10</v>
      </c>
      <c r="D8758" s="5" t="str">
        <f>CONCATENATE(A8758,C8758)</f>
        <v>Ленинградское шоссе, дом 130 к.3 кв. 10</v>
      </c>
      <c r="E8758" s="3">
        <f>HYPERLINK("https://sao.dolgi.msk.ru/account/1404171716/", 1404171716)</f>
        <v>1404171716</v>
      </c>
      <c r="F8758">
        <v>26147.16</v>
      </c>
    </row>
    <row r="8759" spans="1:6" x14ac:dyDescent="0.25">
      <c r="A8759" t="s">
        <v>689</v>
      </c>
      <c r="B8759" t="s">
        <v>15</v>
      </c>
      <c r="C8759" s="5" t="str">
        <f t="shared" si="381"/>
        <v xml:space="preserve"> кв. 11</v>
      </c>
      <c r="D8759" s="5" t="str">
        <f>CONCATENATE(A8759,C8759)</f>
        <v>Ленинградское шоссе, дом 130 к.3 кв. 11</v>
      </c>
      <c r="E8759" s="3">
        <f>HYPERLINK("https://sao.dolgi.msk.ru/account/1404172102/", 1404172102)</f>
        <v>1404172102</v>
      </c>
      <c r="F8759">
        <v>12356.74</v>
      </c>
    </row>
    <row r="8760" spans="1:6" hidden="1" x14ac:dyDescent="0.25">
      <c r="A8760" t="s">
        <v>689</v>
      </c>
      <c r="B8760" t="s">
        <v>16</v>
      </c>
      <c r="E8760" s="3">
        <f>HYPERLINK("https://sao.dolgi.msk.ru/account/1404172073/", 1404172073)</f>
        <v>1404172073</v>
      </c>
      <c r="F8760">
        <v>-730.07</v>
      </c>
    </row>
    <row r="8761" spans="1:6" hidden="1" x14ac:dyDescent="0.25">
      <c r="A8761" t="s">
        <v>689</v>
      </c>
      <c r="B8761" t="s">
        <v>17</v>
      </c>
      <c r="E8761" s="3">
        <f>HYPERLINK("https://sao.dolgi.msk.ru/account/1404172081/", 1404172081)</f>
        <v>1404172081</v>
      </c>
      <c r="F8761">
        <v>-16082.64</v>
      </c>
    </row>
    <row r="8762" spans="1:6" hidden="1" x14ac:dyDescent="0.25">
      <c r="A8762" t="s">
        <v>689</v>
      </c>
      <c r="B8762" t="s">
        <v>18</v>
      </c>
      <c r="E8762" s="3">
        <f>HYPERLINK("https://sao.dolgi.msk.ru/account/1404172129/", 1404172129)</f>
        <v>1404172129</v>
      </c>
      <c r="F8762">
        <v>0</v>
      </c>
    </row>
    <row r="8763" spans="1:6" x14ac:dyDescent="0.25">
      <c r="A8763" t="s">
        <v>689</v>
      </c>
      <c r="B8763" t="s">
        <v>20</v>
      </c>
      <c r="C8763" s="5" t="str">
        <f t="shared" ref="C8763:C8765" si="382">" кв. "&amp;B8763</f>
        <v xml:space="preserve"> кв. 16</v>
      </c>
      <c r="D8763" s="5" t="str">
        <f>CONCATENATE(A8763,C8763)</f>
        <v>Ленинградское шоссе, дом 130 к.3 кв. 16</v>
      </c>
      <c r="E8763" s="3">
        <f>HYPERLINK("https://sao.dolgi.msk.ru/account/1404172321/", 1404172321)</f>
        <v>1404172321</v>
      </c>
      <c r="F8763">
        <v>47424.08</v>
      </c>
    </row>
    <row r="8764" spans="1:6" x14ac:dyDescent="0.25">
      <c r="A8764" t="s">
        <v>689</v>
      </c>
      <c r="B8764" t="s">
        <v>21</v>
      </c>
      <c r="C8764" s="5" t="str">
        <f t="shared" si="382"/>
        <v xml:space="preserve"> кв. 17</v>
      </c>
      <c r="D8764" s="5" t="str">
        <f>CONCATENATE(A8764,C8764)</f>
        <v>Ленинградское шоссе, дом 130 к.3 кв. 17</v>
      </c>
      <c r="E8764" s="3">
        <f>HYPERLINK("https://sao.dolgi.msk.ru/account/1404172145/", 1404172145)</f>
        <v>1404172145</v>
      </c>
      <c r="F8764">
        <v>15724.97</v>
      </c>
    </row>
    <row r="8765" spans="1:6" x14ac:dyDescent="0.25">
      <c r="A8765" t="s">
        <v>689</v>
      </c>
      <c r="B8765" t="s">
        <v>22</v>
      </c>
      <c r="C8765" s="5" t="str">
        <f t="shared" si="382"/>
        <v xml:space="preserve"> кв. 18</v>
      </c>
      <c r="D8765" s="5" t="str">
        <f>CONCATENATE(A8765,C8765)</f>
        <v>Ленинградское шоссе, дом 130 к.3 кв. 18</v>
      </c>
      <c r="E8765" s="3">
        <f>HYPERLINK("https://sao.dolgi.msk.ru/account/1404172348/", 1404172348)</f>
        <v>1404172348</v>
      </c>
      <c r="F8765">
        <v>24280.560000000001</v>
      </c>
    </row>
    <row r="8766" spans="1:6" hidden="1" x14ac:dyDescent="0.25">
      <c r="A8766" t="s">
        <v>689</v>
      </c>
      <c r="B8766" t="s">
        <v>23</v>
      </c>
      <c r="E8766" s="3">
        <f>HYPERLINK("https://sao.dolgi.msk.ru/account/1404172137/", 1404172137)</f>
        <v>1404172137</v>
      </c>
      <c r="F8766">
        <v>-6324.58</v>
      </c>
    </row>
    <row r="8767" spans="1:6" x14ac:dyDescent="0.25">
      <c r="A8767" t="s">
        <v>689</v>
      </c>
      <c r="B8767" t="s">
        <v>24</v>
      </c>
      <c r="C8767" s="5" t="str">
        <f>" кв. "&amp;B8767</f>
        <v xml:space="preserve"> кв. 20</v>
      </c>
      <c r="D8767" s="5" t="str">
        <f>CONCATENATE(A8767,C8767)</f>
        <v>Ленинградское шоссе, дом 130 к.3 кв. 20</v>
      </c>
      <c r="E8767" s="3">
        <f>HYPERLINK("https://sao.dolgi.msk.ru/account/1404172153/", 1404172153)</f>
        <v>1404172153</v>
      </c>
      <c r="F8767">
        <v>41088.65</v>
      </c>
    </row>
    <row r="8768" spans="1:6" hidden="1" x14ac:dyDescent="0.25">
      <c r="A8768" t="s">
        <v>689</v>
      </c>
      <c r="B8768" t="s">
        <v>25</v>
      </c>
      <c r="E8768" s="3">
        <f>HYPERLINK("https://sao.dolgi.msk.ru/account/1404172401/", 1404172401)</f>
        <v>1404172401</v>
      </c>
      <c r="F8768">
        <v>0</v>
      </c>
    </row>
    <row r="8769" spans="1:6" x14ac:dyDescent="0.25">
      <c r="A8769" t="s">
        <v>689</v>
      </c>
      <c r="B8769" t="s">
        <v>26</v>
      </c>
      <c r="C8769" s="5" t="str">
        <f>" кв. "&amp;B8769</f>
        <v xml:space="preserve"> кв. 22</v>
      </c>
      <c r="D8769" s="5" t="str">
        <f>CONCATENATE(A8769,C8769)</f>
        <v>Ленинградское шоссе, дом 130 к.3 кв. 22</v>
      </c>
      <c r="E8769" s="3">
        <f>HYPERLINK("https://sao.dolgi.msk.ru/account/1404172268/", 1404172268)</f>
        <v>1404172268</v>
      </c>
      <c r="F8769">
        <v>32209.69</v>
      </c>
    </row>
    <row r="8770" spans="1:6" hidden="1" x14ac:dyDescent="0.25">
      <c r="A8770" t="s">
        <v>689</v>
      </c>
      <c r="B8770" t="s">
        <v>27</v>
      </c>
      <c r="E8770" s="3">
        <f>HYPERLINK("https://sao.dolgi.msk.ru/account/1404172428/", 1404172428)</f>
        <v>1404172428</v>
      </c>
      <c r="F8770">
        <v>-1068.22</v>
      </c>
    </row>
    <row r="8771" spans="1:6" x14ac:dyDescent="0.25">
      <c r="A8771" t="s">
        <v>689</v>
      </c>
      <c r="B8771" t="s">
        <v>28</v>
      </c>
      <c r="C8771" s="5" t="str">
        <f>" кв. "&amp;B8771</f>
        <v xml:space="preserve"> кв. 24</v>
      </c>
      <c r="D8771" s="5" t="str">
        <f>CONCATENATE(A8771,C8771)</f>
        <v>Ленинградское шоссе, дом 130 к.3 кв. 24</v>
      </c>
      <c r="E8771" s="3">
        <f>HYPERLINK("https://sao.dolgi.msk.ru/account/1404172276/", 1404172276)</f>
        <v>1404172276</v>
      </c>
      <c r="F8771">
        <v>24954.59</v>
      </c>
    </row>
    <row r="8772" spans="1:6" hidden="1" x14ac:dyDescent="0.25">
      <c r="A8772" t="s">
        <v>689</v>
      </c>
      <c r="B8772" t="s">
        <v>30</v>
      </c>
      <c r="E8772" s="3">
        <f>HYPERLINK("https://sao.dolgi.msk.ru/account/1404172372/", 1404172372)</f>
        <v>1404172372</v>
      </c>
      <c r="F8772">
        <v>-8558.27</v>
      </c>
    </row>
    <row r="8773" spans="1:6" hidden="1" x14ac:dyDescent="0.25">
      <c r="A8773" t="s">
        <v>689</v>
      </c>
      <c r="B8773" t="s">
        <v>31</v>
      </c>
      <c r="E8773" s="3">
        <f>HYPERLINK("https://sao.dolgi.msk.ru/account/1404172305/", 1404172305)</f>
        <v>1404172305</v>
      </c>
      <c r="F8773">
        <v>0</v>
      </c>
    </row>
    <row r="8774" spans="1:6" x14ac:dyDescent="0.25">
      <c r="A8774" t="s">
        <v>689</v>
      </c>
      <c r="B8774" t="s">
        <v>32</v>
      </c>
      <c r="C8774" s="5" t="str">
        <f t="shared" ref="C8774:C8776" si="383">" кв. "&amp;B8774</f>
        <v xml:space="preserve"> кв. 28</v>
      </c>
      <c r="D8774" s="5" t="str">
        <f>CONCATENATE(A8774,C8774)</f>
        <v>Ленинградское шоссе, дом 130 к.3 кв. 28</v>
      </c>
      <c r="E8774" s="3">
        <f>HYPERLINK("https://sao.dolgi.msk.ru/account/1404172436/", 1404172436)</f>
        <v>1404172436</v>
      </c>
      <c r="F8774">
        <v>13691.87</v>
      </c>
    </row>
    <row r="8775" spans="1:6" x14ac:dyDescent="0.25">
      <c r="A8775" t="s">
        <v>689</v>
      </c>
      <c r="B8775" t="s">
        <v>33</v>
      </c>
      <c r="C8775" s="5" t="str">
        <f t="shared" si="383"/>
        <v xml:space="preserve"> кв. 29</v>
      </c>
      <c r="D8775" s="5" t="str">
        <f>CONCATENATE(A8775,C8775)</f>
        <v>Ленинградское шоссе, дом 130 к.3 кв. 29</v>
      </c>
      <c r="E8775" s="3">
        <f>HYPERLINK("https://sao.dolgi.msk.ru/account/1404171492/", 1404171492)</f>
        <v>1404171492</v>
      </c>
      <c r="F8775">
        <v>44256.33</v>
      </c>
    </row>
    <row r="8776" spans="1:6" x14ac:dyDescent="0.25">
      <c r="A8776" t="s">
        <v>689</v>
      </c>
      <c r="B8776" t="s">
        <v>34</v>
      </c>
      <c r="C8776" s="5" t="str">
        <f t="shared" si="383"/>
        <v xml:space="preserve"> кв. 30</v>
      </c>
      <c r="D8776" s="5" t="str">
        <f>CONCATENATE(A8776,C8776)</f>
        <v>Ленинградское шоссе, дом 130 к.3 кв. 30</v>
      </c>
      <c r="E8776" s="3">
        <f>HYPERLINK("https://sao.dolgi.msk.ru/account/1404171505/", 1404171505)</f>
        <v>1404171505</v>
      </c>
      <c r="F8776">
        <v>36858.639999999999</v>
      </c>
    </row>
    <row r="8777" spans="1:6" hidden="1" x14ac:dyDescent="0.25">
      <c r="A8777" t="s">
        <v>689</v>
      </c>
      <c r="B8777" t="s">
        <v>35</v>
      </c>
      <c r="E8777" s="3">
        <f>HYPERLINK("https://sao.dolgi.msk.ru/account/1404171556/", 1404171556)</f>
        <v>1404171556</v>
      </c>
      <c r="F8777">
        <v>-13912.23</v>
      </c>
    </row>
    <row r="8778" spans="1:6" x14ac:dyDescent="0.25">
      <c r="A8778" t="s">
        <v>689</v>
      </c>
      <c r="B8778" t="s">
        <v>36</v>
      </c>
      <c r="C8778" s="5" t="str">
        <f>" кв. "&amp;B8778</f>
        <v xml:space="preserve"> кв. 32</v>
      </c>
      <c r="D8778" s="5" t="str">
        <f>CONCATENATE(A8778,C8778)</f>
        <v>Ленинградское шоссе, дом 130 к.3 кв. 32</v>
      </c>
      <c r="E8778" s="3">
        <f>HYPERLINK("https://sao.dolgi.msk.ru/account/1404171564/", 1404171564)</f>
        <v>1404171564</v>
      </c>
      <c r="F8778">
        <v>21661.16</v>
      </c>
    </row>
    <row r="8779" spans="1:6" hidden="1" x14ac:dyDescent="0.25">
      <c r="A8779" t="s">
        <v>689</v>
      </c>
      <c r="B8779" t="s">
        <v>37</v>
      </c>
      <c r="E8779" s="3">
        <f>HYPERLINK("https://sao.dolgi.msk.ru/account/1404171601/", 1404171601)</f>
        <v>1404171601</v>
      </c>
      <c r="F8779">
        <v>-12063.51</v>
      </c>
    </row>
    <row r="8780" spans="1:6" hidden="1" x14ac:dyDescent="0.25">
      <c r="A8780" t="s">
        <v>689</v>
      </c>
      <c r="B8780" t="s">
        <v>38</v>
      </c>
      <c r="E8780" s="3">
        <f>HYPERLINK("https://sao.dolgi.msk.ru/account/1404171628/", 1404171628)</f>
        <v>1404171628</v>
      </c>
      <c r="F8780">
        <v>0</v>
      </c>
    </row>
    <row r="8781" spans="1:6" x14ac:dyDescent="0.25">
      <c r="A8781" t="s">
        <v>689</v>
      </c>
      <c r="B8781" t="s">
        <v>39</v>
      </c>
      <c r="C8781" s="5" t="str">
        <f t="shared" ref="C8781:C8783" si="384">" кв. "&amp;B8781</f>
        <v xml:space="preserve"> кв. 35</v>
      </c>
      <c r="D8781" s="5" t="str">
        <f>CONCATENATE(A8781,C8781)</f>
        <v>Ленинградское шоссе, дом 130 к.3 кв. 35</v>
      </c>
      <c r="E8781" s="3">
        <f>HYPERLINK("https://sao.dolgi.msk.ru/account/1404171644/", 1404171644)</f>
        <v>1404171644</v>
      </c>
      <c r="F8781">
        <v>30761.439999999999</v>
      </c>
    </row>
    <row r="8782" spans="1:6" x14ac:dyDescent="0.25">
      <c r="A8782" t="s">
        <v>689</v>
      </c>
      <c r="B8782" t="s">
        <v>40</v>
      </c>
      <c r="C8782" s="5" t="str">
        <f t="shared" si="384"/>
        <v xml:space="preserve"> кв. 36</v>
      </c>
      <c r="D8782" s="5" t="str">
        <f>CONCATENATE(A8782,C8782)</f>
        <v>Ленинградское шоссе, дом 130 к.3 кв. 36</v>
      </c>
      <c r="E8782" s="3">
        <f>HYPERLINK("https://sao.dolgi.msk.ru/account/1404171572/", 1404171572)</f>
        <v>1404171572</v>
      </c>
      <c r="F8782">
        <v>21185.08</v>
      </c>
    </row>
    <row r="8783" spans="1:6" x14ac:dyDescent="0.25">
      <c r="A8783" t="s">
        <v>689</v>
      </c>
      <c r="B8783" t="s">
        <v>41</v>
      </c>
      <c r="C8783" s="5" t="str">
        <f t="shared" si="384"/>
        <v xml:space="preserve"> кв. 37</v>
      </c>
      <c r="D8783" s="5" t="str">
        <f>CONCATENATE(A8783,C8783)</f>
        <v>Ленинградское шоссе, дом 130 к.3 кв. 37</v>
      </c>
      <c r="E8783" s="3">
        <f>HYPERLINK("https://sao.dolgi.msk.ru/account/1404171652/", 1404171652)</f>
        <v>1404171652</v>
      </c>
      <c r="F8783">
        <v>15669.95</v>
      </c>
    </row>
    <row r="8784" spans="1:6" hidden="1" x14ac:dyDescent="0.25">
      <c r="A8784" t="s">
        <v>689</v>
      </c>
      <c r="B8784" t="s">
        <v>42</v>
      </c>
      <c r="E8784" s="3">
        <f>HYPERLINK("https://sao.dolgi.msk.ru/account/1404171679/", 1404171679)</f>
        <v>1404171679</v>
      </c>
      <c r="F8784">
        <v>-11354.64</v>
      </c>
    </row>
    <row r="8785" spans="1:6" x14ac:dyDescent="0.25">
      <c r="A8785" t="s">
        <v>689</v>
      </c>
      <c r="B8785" t="s">
        <v>43</v>
      </c>
      <c r="C8785" s="5" t="str">
        <f>" кв. "&amp;B8785</f>
        <v xml:space="preserve"> кв. 39</v>
      </c>
      <c r="D8785" s="5" t="str">
        <f>CONCATENATE(A8785,C8785)</f>
        <v>Ленинградское шоссе, дом 130 к.3 кв. 39</v>
      </c>
      <c r="E8785" s="3">
        <f>HYPERLINK("https://sao.dolgi.msk.ru/account/1404171687/", 1404171687)</f>
        <v>1404171687</v>
      </c>
      <c r="F8785">
        <v>29031.01</v>
      </c>
    </row>
    <row r="8786" spans="1:6" hidden="1" x14ac:dyDescent="0.25">
      <c r="A8786" t="s">
        <v>689</v>
      </c>
      <c r="B8786" t="s">
        <v>44</v>
      </c>
      <c r="E8786" s="3">
        <f>HYPERLINK("https://sao.dolgi.msk.ru/account/1404171695/", 1404171695)</f>
        <v>1404171695</v>
      </c>
      <c r="F8786">
        <v>-8504.17</v>
      </c>
    </row>
    <row r="8787" spans="1:6" x14ac:dyDescent="0.25">
      <c r="A8787" t="s">
        <v>689</v>
      </c>
      <c r="B8787" t="s">
        <v>45</v>
      </c>
      <c r="C8787" s="5" t="str">
        <f t="shared" ref="C8787:C8791" si="385">" кв. "&amp;B8787</f>
        <v xml:space="preserve"> кв. 41</v>
      </c>
      <c r="D8787" s="5" t="str">
        <f>CONCATENATE(A8787,C8787)</f>
        <v>Ленинградское шоссе, дом 130 к.3 кв. 41</v>
      </c>
      <c r="E8787" s="3">
        <f>HYPERLINK("https://sao.dolgi.msk.ru/account/1404171513/", 1404171513)</f>
        <v>1404171513</v>
      </c>
      <c r="F8787">
        <v>25121.82</v>
      </c>
    </row>
    <row r="8788" spans="1:6" x14ac:dyDescent="0.25">
      <c r="A8788" t="s">
        <v>689</v>
      </c>
      <c r="B8788" t="s">
        <v>46</v>
      </c>
      <c r="C8788" s="5" t="str">
        <f t="shared" si="385"/>
        <v xml:space="preserve"> кв. 42</v>
      </c>
      <c r="D8788" s="5" t="str">
        <f>CONCATENATE(A8788,C8788)</f>
        <v>Ленинградское шоссе, дом 130 к.3 кв. 42</v>
      </c>
      <c r="E8788" s="3">
        <f>HYPERLINK("https://sao.dolgi.msk.ru/account/1404171708/", 1404171708)</f>
        <v>1404171708</v>
      </c>
      <c r="F8788">
        <v>13602.91</v>
      </c>
    </row>
    <row r="8789" spans="1:6" x14ac:dyDescent="0.25">
      <c r="A8789" t="s">
        <v>689</v>
      </c>
      <c r="B8789" t="s">
        <v>47</v>
      </c>
      <c r="C8789" s="5" t="str">
        <f t="shared" si="385"/>
        <v xml:space="preserve"> кв. 43</v>
      </c>
      <c r="D8789" s="5" t="str">
        <f>CONCATENATE(A8789,C8789)</f>
        <v>Ленинградское шоссе, дом 130 к.3 кв. 43</v>
      </c>
      <c r="E8789" s="3">
        <f>HYPERLINK("https://sao.dolgi.msk.ru/account/1404171521/", 1404171521)</f>
        <v>1404171521</v>
      </c>
      <c r="F8789">
        <v>13156.04</v>
      </c>
    </row>
    <row r="8790" spans="1:6" x14ac:dyDescent="0.25">
      <c r="A8790" t="s">
        <v>689</v>
      </c>
      <c r="B8790" t="s">
        <v>48</v>
      </c>
      <c r="C8790" s="5" t="str">
        <f t="shared" si="385"/>
        <v xml:space="preserve"> кв. 44</v>
      </c>
      <c r="D8790" s="5" t="str">
        <f>CONCATENATE(A8790,C8790)</f>
        <v>Ленинградское шоссе, дом 130 к.3 кв. 44</v>
      </c>
      <c r="E8790" s="3">
        <f>HYPERLINK("https://sao.dolgi.msk.ru/account/1404172567/", 1404172567)</f>
        <v>1404172567</v>
      </c>
      <c r="F8790">
        <v>40887.25</v>
      </c>
    </row>
    <row r="8791" spans="1:6" x14ac:dyDescent="0.25">
      <c r="A8791" t="s">
        <v>689</v>
      </c>
      <c r="B8791" t="s">
        <v>49</v>
      </c>
      <c r="C8791" s="5" t="str">
        <f t="shared" si="385"/>
        <v xml:space="preserve"> кв. 45</v>
      </c>
      <c r="D8791" s="5" t="str">
        <f>CONCATENATE(A8791,C8791)</f>
        <v>Ленинградское шоссе, дом 130 к.3 кв. 45</v>
      </c>
      <c r="E8791" s="3">
        <f>HYPERLINK("https://sao.dolgi.msk.ru/account/1404172655/", 1404172655)</f>
        <v>1404172655</v>
      </c>
      <c r="F8791">
        <v>4285.26</v>
      </c>
    </row>
    <row r="8792" spans="1:6" hidden="1" x14ac:dyDescent="0.25">
      <c r="A8792" t="s">
        <v>689</v>
      </c>
      <c r="B8792" t="s">
        <v>50</v>
      </c>
      <c r="E8792" s="3">
        <f>HYPERLINK("https://sao.dolgi.msk.ru/account/1404172719/", 1404172719)</f>
        <v>1404172719</v>
      </c>
      <c r="F8792">
        <v>-12885.8</v>
      </c>
    </row>
    <row r="8793" spans="1:6" x14ac:dyDescent="0.25">
      <c r="A8793" t="s">
        <v>689</v>
      </c>
      <c r="B8793" t="s">
        <v>51</v>
      </c>
      <c r="C8793" s="5" t="str">
        <f t="shared" ref="C8793:C8794" si="386">" кв. "&amp;B8793</f>
        <v xml:space="preserve"> кв. 47</v>
      </c>
      <c r="D8793" s="5" t="str">
        <f>CONCATENATE(A8793,C8793)</f>
        <v>Ленинградское шоссе, дом 130 к.3 кв. 47</v>
      </c>
      <c r="E8793" s="3">
        <f>HYPERLINK("https://sao.dolgi.msk.ru/account/1404172591/", 1404172591)</f>
        <v>1404172591</v>
      </c>
      <c r="F8793">
        <v>30706.5</v>
      </c>
    </row>
    <row r="8794" spans="1:6" x14ac:dyDescent="0.25">
      <c r="A8794" t="s">
        <v>689</v>
      </c>
      <c r="B8794" t="s">
        <v>52</v>
      </c>
      <c r="C8794" s="5" t="str">
        <f t="shared" si="386"/>
        <v xml:space="preserve"> кв. 48</v>
      </c>
      <c r="D8794" s="5" t="str">
        <f>CONCATENATE(A8794,C8794)</f>
        <v>Ленинградское шоссе, дом 130 к.3 кв. 48</v>
      </c>
      <c r="E8794" s="3">
        <f>HYPERLINK("https://sao.dolgi.msk.ru/account/1404172604/", 1404172604)</f>
        <v>1404172604</v>
      </c>
      <c r="F8794">
        <v>9544.44</v>
      </c>
    </row>
    <row r="8795" spans="1:6" hidden="1" x14ac:dyDescent="0.25">
      <c r="A8795" t="s">
        <v>689</v>
      </c>
      <c r="B8795" t="s">
        <v>53</v>
      </c>
      <c r="E8795" s="3">
        <f>HYPERLINK("https://sao.dolgi.msk.ru/account/1404172524/", 1404172524)</f>
        <v>1404172524</v>
      </c>
      <c r="F8795">
        <v>-9336.7900000000009</v>
      </c>
    </row>
    <row r="8796" spans="1:6" x14ac:dyDescent="0.25">
      <c r="A8796" t="s">
        <v>689</v>
      </c>
      <c r="B8796" t="s">
        <v>54</v>
      </c>
      <c r="C8796" s="5" t="str">
        <f>" кв. "&amp;B8796</f>
        <v xml:space="preserve"> кв. 50</v>
      </c>
      <c r="D8796" s="5" t="str">
        <f>CONCATENATE(A8796,C8796)</f>
        <v>Ленинградское шоссе, дом 130 к.3 кв. 50</v>
      </c>
      <c r="E8796" s="3">
        <f>HYPERLINK("https://sao.dolgi.msk.ru/account/1404172663/", 1404172663)</f>
        <v>1404172663</v>
      </c>
      <c r="F8796">
        <v>16731.71</v>
      </c>
    </row>
    <row r="8797" spans="1:6" hidden="1" x14ac:dyDescent="0.25">
      <c r="A8797" t="s">
        <v>689</v>
      </c>
      <c r="B8797" t="s">
        <v>55</v>
      </c>
      <c r="E8797" s="3">
        <f>HYPERLINK("https://sao.dolgi.msk.ru/account/1404172639/", 1404172639)</f>
        <v>1404172639</v>
      </c>
      <c r="F8797">
        <v>-7694.52</v>
      </c>
    </row>
    <row r="8798" spans="1:6" hidden="1" x14ac:dyDescent="0.25">
      <c r="A8798" t="s">
        <v>689</v>
      </c>
      <c r="B8798" t="s">
        <v>56</v>
      </c>
      <c r="E8798" s="3">
        <f>HYPERLINK("https://sao.dolgi.msk.ru/account/1404172559/", 1404172559)</f>
        <v>1404172559</v>
      </c>
      <c r="F8798">
        <v>-10025.85</v>
      </c>
    </row>
    <row r="8799" spans="1:6" hidden="1" x14ac:dyDescent="0.25">
      <c r="A8799" t="s">
        <v>689</v>
      </c>
      <c r="B8799" t="s">
        <v>57</v>
      </c>
      <c r="E8799" s="3">
        <f>HYPERLINK("https://sao.dolgi.msk.ru/account/1404172727/", 1404172727)</f>
        <v>1404172727</v>
      </c>
      <c r="F8799">
        <v>-15976.58</v>
      </c>
    </row>
    <row r="8800" spans="1:6" hidden="1" x14ac:dyDescent="0.25">
      <c r="A8800" t="s">
        <v>689</v>
      </c>
      <c r="B8800" t="s">
        <v>58</v>
      </c>
      <c r="E8800" s="3">
        <f>HYPERLINK("https://sao.dolgi.msk.ru/account/1404172671/", 1404172671)</f>
        <v>1404172671</v>
      </c>
      <c r="F8800">
        <v>-14620</v>
      </c>
    </row>
    <row r="8801" spans="1:6" hidden="1" x14ac:dyDescent="0.25">
      <c r="A8801" t="s">
        <v>689</v>
      </c>
      <c r="B8801" t="s">
        <v>59</v>
      </c>
      <c r="E8801" s="3">
        <f>HYPERLINK("https://sao.dolgi.msk.ru/account/1404172743/", 1404172743)</f>
        <v>1404172743</v>
      </c>
      <c r="F8801">
        <v>-11242.25</v>
      </c>
    </row>
    <row r="8802" spans="1:6" x14ac:dyDescent="0.25">
      <c r="A8802" t="s">
        <v>689</v>
      </c>
      <c r="B8802" t="s">
        <v>60</v>
      </c>
      <c r="C8802" s="5" t="str">
        <f>" кв. "&amp;B8802</f>
        <v xml:space="preserve"> кв. 56</v>
      </c>
      <c r="D8802" s="5" t="str">
        <f>CONCATENATE(A8802,C8802)</f>
        <v>Ленинградское шоссе, дом 130 к.3 кв. 56</v>
      </c>
      <c r="E8802" s="3">
        <f>HYPERLINK("https://sao.dolgi.msk.ru/account/1404172647/", 1404172647)</f>
        <v>1404172647</v>
      </c>
      <c r="F8802">
        <v>34515.17</v>
      </c>
    </row>
    <row r="8803" spans="1:6" hidden="1" x14ac:dyDescent="0.25">
      <c r="A8803" t="s">
        <v>689</v>
      </c>
      <c r="B8803" t="s">
        <v>61</v>
      </c>
      <c r="E8803" s="3">
        <f>HYPERLINK("https://sao.dolgi.msk.ru/account/1404172778/", 1404172778)</f>
        <v>1404172778</v>
      </c>
      <c r="F8803">
        <v>0</v>
      </c>
    </row>
    <row r="8804" spans="1:6" hidden="1" x14ac:dyDescent="0.25">
      <c r="A8804" t="s">
        <v>689</v>
      </c>
      <c r="B8804" t="s">
        <v>62</v>
      </c>
      <c r="E8804" s="3">
        <f>HYPERLINK("https://sao.dolgi.msk.ru/account/1404172794/", 1404172794)</f>
        <v>1404172794</v>
      </c>
      <c r="F8804">
        <v>0</v>
      </c>
    </row>
    <row r="8805" spans="1:6" x14ac:dyDescent="0.25">
      <c r="A8805" t="s">
        <v>689</v>
      </c>
      <c r="B8805" t="s">
        <v>63</v>
      </c>
      <c r="C8805" s="5" t="str">
        <f>" кв. "&amp;B8805</f>
        <v xml:space="preserve"> кв. 59</v>
      </c>
      <c r="D8805" s="5" t="str">
        <f>CONCATENATE(A8805,C8805)</f>
        <v>Ленинградское шоссе, дом 130 к.3 кв. 59</v>
      </c>
      <c r="E8805" s="3">
        <f>HYPERLINK("https://sao.dolgi.msk.ru/account/1404174431/", 1404174431)</f>
        <v>1404174431</v>
      </c>
      <c r="F8805">
        <v>30726.62</v>
      </c>
    </row>
    <row r="8806" spans="1:6" hidden="1" x14ac:dyDescent="0.25">
      <c r="A8806" t="s">
        <v>689</v>
      </c>
      <c r="B8806" t="s">
        <v>64</v>
      </c>
      <c r="E8806" s="3">
        <f>HYPERLINK("https://sao.dolgi.msk.ru/account/1404174458/", 1404174458)</f>
        <v>1404174458</v>
      </c>
      <c r="F8806">
        <v>-8555.8799999999992</v>
      </c>
    </row>
    <row r="8807" spans="1:6" hidden="1" x14ac:dyDescent="0.25">
      <c r="A8807" t="s">
        <v>689</v>
      </c>
      <c r="B8807" t="s">
        <v>65</v>
      </c>
      <c r="E8807" s="3">
        <f>HYPERLINK("https://sao.dolgi.msk.ru/account/1404171783/", 1404171783)</f>
        <v>1404171783</v>
      </c>
      <c r="F8807">
        <v>-13176.39</v>
      </c>
    </row>
    <row r="8808" spans="1:6" x14ac:dyDescent="0.25">
      <c r="A8808" t="s">
        <v>689</v>
      </c>
      <c r="B8808" t="s">
        <v>66</v>
      </c>
      <c r="C8808" s="5" t="str">
        <f>" кв. "&amp;B8808</f>
        <v xml:space="preserve"> кв. 62</v>
      </c>
      <c r="D8808" s="5" t="str">
        <f>CONCATENATE(A8808,C8808)</f>
        <v>Ленинградское шоссе, дом 130 к.3 кв. 62</v>
      </c>
      <c r="E8808" s="3">
        <f>HYPERLINK("https://sao.dolgi.msk.ru/account/1404171732/", 1404171732)</f>
        <v>1404171732</v>
      </c>
      <c r="F8808">
        <v>13918.62</v>
      </c>
    </row>
    <row r="8809" spans="1:6" hidden="1" x14ac:dyDescent="0.25">
      <c r="A8809" t="s">
        <v>689</v>
      </c>
      <c r="B8809" t="s">
        <v>67</v>
      </c>
      <c r="E8809" s="3">
        <f>HYPERLINK("https://sao.dolgi.msk.ru/account/1404174466/", 1404174466)</f>
        <v>1404174466</v>
      </c>
      <c r="F8809">
        <v>-315.2</v>
      </c>
    </row>
    <row r="8810" spans="1:6" hidden="1" x14ac:dyDescent="0.25">
      <c r="A8810" t="s">
        <v>689</v>
      </c>
      <c r="B8810" t="s">
        <v>68</v>
      </c>
      <c r="E8810" s="3">
        <f>HYPERLINK("https://sao.dolgi.msk.ru/account/1404174474/", 1404174474)</f>
        <v>1404174474</v>
      </c>
      <c r="F8810">
        <v>-8087.81</v>
      </c>
    </row>
    <row r="8811" spans="1:6" hidden="1" x14ac:dyDescent="0.25">
      <c r="A8811" t="s">
        <v>689</v>
      </c>
      <c r="B8811" t="s">
        <v>69</v>
      </c>
      <c r="E8811" s="3">
        <f>HYPERLINK("https://sao.dolgi.msk.ru/account/1404174546/", 1404174546)</f>
        <v>1404174546</v>
      </c>
      <c r="F8811">
        <v>-11727.09</v>
      </c>
    </row>
    <row r="8812" spans="1:6" x14ac:dyDescent="0.25">
      <c r="A8812" t="s">
        <v>689</v>
      </c>
      <c r="B8812" t="s">
        <v>70</v>
      </c>
      <c r="C8812" s="5" t="str">
        <f t="shared" ref="C8812:C8813" si="387">" кв. "&amp;B8812</f>
        <v xml:space="preserve"> кв. 66</v>
      </c>
      <c r="D8812" s="5" t="str">
        <f>CONCATENATE(A8812,C8812)</f>
        <v>Ленинградское шоссе, дом 130 к.3 кв. 66</v>
      </c>
      <c r="E8812" s="3">
        <f>HYPERLINK("https://sao.dolgi.msk.ru/account/1404174482/", 1404174482)</f>
        <v>1404174482</v>
      </c>
      <c r="F8812">
        <v>17284.650000000001</v>
      </c>
    </row>
    <row r="8813" spans="1:6" x14ac:dyDescent="0.25">
      <c r="A8813" t="s">
        <v>689</v>
      </c>
      <c r="B8813" t="s">
        <v>71</v>
      </c>
      <c r="C8813" s="5" t="str">
        <f t="shared" si="387"/>
        <v xml:space="preserve"> кв. 67</v>
      </c>
      <c r="D8813" s="5" t="str">
        <f>CONCATENATE(A8813,C8813)</f>
        <v>Ленинградское шоссе, дом 130 к.3 кв. 67</v>
      </c>
      <c r="E8813" s="3">
        <f>HYPERLINK("https://sao.dolgi.msk.ru/account/1404174503/", 1404174503)</f>
        <v>1404174503</v>
      </c>
      <c r="F8813">
        <v>2652.59</v>
      </c>
    </row>
    <row r="8814" spans="1:6" hidden="1" x14ac:dyDescent="0.25">
      <c r="A8814" t="s">
        <v>689</v>
      </c>
      <c r="B8814" t="s">
        <v>72</v>
      </c>
      <c r="E8814" s="3">
        <f>HYPERLINK("https://sao.dolgi.msk.ru/account/1404174554/", 1404174554)</f>
        <v>1404174554</v>
      </c>
      <c r="F8814">
        <v>-8049.25</v>
      </c>
    </row>
    <row r="8815" spans="1:6" x14ac:dyDescent="0.25">
      <c r="A8815" t="s">
        <v>689</v>
      </c>
      <c r="B8815" t="s">
        <v>73</v>
      </c>
      <c r="C8815" s="5" t="str">
        <f t="shared" ref="C8815:C8816" si="388">" кв. "&amp;B8815</f>
        <v xml:space="preserve"> кв. 69</v>
      </c>
      <c r="D8815" s="5" t="str">
        <f>CONCATENATE(A8815,C8815)</f>
        <v>Ленинградское шоссе, дом 130 к.3 кв. 69</v>
      </c>
      <c r="E8815" s="3">
        <f>HYPERLINK("https://sao.dolgi.msk.ru/account/1404174562/", 1404174562)</f>
        <v>1404174562</v>
      </c>
      <c r="F8815">
        <v>26403.54</v>
      </c>
    </row>
    <row r="8816" spans="1:6" x14ac:dyDescent="0.25">
      <c r="A8816" t="s">
        <v>689</v>
      </c>
      <c r="B8816" t="s">
        <v>74</v>
      </c>
      <c r="C8816" s="5" t="str">
        <f t="shared" si="388"/>
        <v xml:space="preserve"> кв. 70</v>
      </c>
      <c r="D8816" s="5" t="str">
        <f>CONCATENATE(A8816,C8816)</f>
        <v>Ленинградское шоссе, дом 130 к.3 кв. 70</v>
      </c>
      <c r="E8816" s="3">
        <f>HYPERLINK("https://sao.dolgi.msk.ru/account/1404174589/", 1404174589)</f>
        <v>1404174589</v>
      </c>
      <c r="F8816">
        <v>41235.03</v>
      </c>
    </row>
    <row r="8817" spans="1:6" hidden="1" x14ac:dyDescent="0.25">
      <c r="A8817" t="s">
        <v>689</v>
      </c>
      <c r="B8817" t="s">
        <v>75</v>
      </c>
      <c r="E8817" s="3">
        <f>HYPERLINK("https://sao.dolgi.msk.ru/account/1404174511/", 1404174511)</f>
        <v>1404174511</v>
      </c>
      <c r="F8817">
        <v>-13826.61</v>
      </c>
    </row>
    <row r="8818" spans="1:6" x14ac:dyDescent="0.25">
      <c r="A8818" t="s">
        <v>689</v>
      </c>
      <c r="B8818" t="s">
        <v>76</v>
      </c>
      <c r="C8818" s="5" t="str">
        <f t="shared" ref="C8818:C8819" si="389">" кв. "&amp;B8818</f>
        <v xml:space="preserve"> кв. 72</v>
      </c>
      <c r="D8818" s="5" t="str">
        <f>CONCATENATE(A8818,C8818)</f>
        <v>Ленинградское шоссе, дом 130 к.3 кв. 72</v>
      </c>
      <c r="E8818" s="3">
        <f>HYPERLINK("https://sao.dolgi.msk.ru/account/1404174597/", 1404174597)</f>
        <v>1404174597</v>
      </c>
      <c r="F8818">
        <v>10466.93</v>
      </c>
    </row>
    <row r="8819" spans="1:6" x14ac:dyDescent="0.25">
      <c r="A8819" t="s">
        <v>689</v>
      </c>
      <c r="B8819" t="s">
        <v>77</v>
      </c>
      <c r="C8819" s="5" t="str">
        <f t="shared" si="389"/>
        <v xml:space="preserve"> кв. 73</v>
      </c>
      <c r="D8819" s="5" t="str">
        <f>CONCATENATE(A8819,C8819)</f>
        <v>Ленинградское шоссе, дом 130 к.3 кв. 73</v>
      </c>
      <c r="E8819" s="3">
        <f>HYPERLINK("https://sao.dolgi.msk.ru/account/1404174538/", 1404174538)</f>
        <v>1404174538</v>
      </c>
      <c r="F8819">
        <v>3758.66</v>
      </c>
    </row>
    <row r="8820" spans="1:6" hidden="1" x14ac:dyDescent="0.25">
      <c r="A8820" t="s">
        <v>689</v>
      </c>
      <c r="B8820" t="s">
        <v>78</v>
      </c>
      <c r="E8820" s="3">
        <f>HYPERLINK("https://sao.dolgi.msk.ru/account/1404172858/", 1404172858)</f>
        <v>1404172858</v>
      </c>
      <c r="F8820">
        <v>-13435.15</v>
      </c>
    </row>
    <row r="8821" spans="1:6" x14ac:dyDescent="0.25">
      <c r="A8821" t="s">
        <v>689</v>
      </c>
      <c r="B8821" t="s">
        <v>79</v>
      </c>
      <c r="C8821" s="5" t="str">
        <f>" кв. "&amp;B8821</f>
        <v xml:space="preserve"> кв. 75</v>
      </c>
      <c r="D8821" s="5" t="str">
        <f>CONCATENATE(A8821,C8821)</f>
        <v>Ленинградское шоссе, дом 130 к.3 кв. 75</v>
      </c>
      <c r="E8821" s="3">
        <f>HYPERLINK("https://sao.dolgi.msk.ru/account/1404172866/", 1404172866)</f>
        <v>1404172866</v>
      </c>
      <c r="F8821">
        <v>979.99</v>
      </c>
    </row>
    <row r="8822" spans="1:6" hidden="1" x14ac:dyDescent="0.25">
      <c r="A8822" t="s">
        <v>689</v>
      </c>
      <c r="B8822" t="s">
        <v>80</v>
      </c>
      <c r="E8822" s="3">
        <f>HYPERLINK("https://sao.dolgi.msk.ru/account/1404293772/", 1404293772)</f>
        <v>1404293772</v>
      </c>
      <c r="F8822">
        <v>-30112.66</v>
      </c>
    </row>
    <row r="8823" spans="1:6" x14ac:dyDescent="0.25">
      <c r="A8823" t="s">
        <v>689</v>
      </c>
      <c r="B8823" t="s">
        <v>81</v>
      </c>
      <c r="C8823" s="5" t="str">
        <f>" кв. "&amp;B8823</f>
        <v xml:space="preserve"> кв. 77</v>
      </c>
      <c r="D8823" s="5" t="str">
        <f>CONCATENATE(A8823,C8823)</f>
        <v>Ленинградское шоссе, дом 130 к.3 кв. 77</v>
      </c>
      <c r="E8823" s="3">
        <f>HYPERLINK("https://sao.dolgi.msk.ru/account/1404172831/", 1404172831)</f>
        <v>1404172831</v>
      </c>
      <c r="F8823">
        <v>4534.78</v>
      </c>
    </row>
    <row r="8824" spans="1:6" hidden="1" x14ac:dyDescent="0.25">
      <c r="A8824" t="s">
        <v>689</v>
      </c>
      <c r="B8824" t="s">
        <v>82</v>
      </c>
      <c r="E8824" s="3">
        <f>HYPERLINK("https://sao.dolgi.msk.ru/account/1404172874/", 1404172874)</f>
        <v>1404172874</v>
      </c>
      <c r="F8824">
        <v>-15761.96</v>
      </c>
    </row>
    <row r="8825" spans="1:6" hidden="1" x14ac:dyDescent="0.25">
      <c r="A8825" t="s">
        <v>689</v>
      </c>
      <c r="B8825" t="s">
        <v>83</v>
      </c>
      <c r="E8825" s="3">
        <f>HYPERLINK("https://sao.dolgi.msk.ru/account/1404172882/", 1404172882)</f>
        <v>1404172882</v>
      </c>
      <c r="F8825">
        <v>0</v>
      </c>
    </row>
    <row r="8826" spans="1:6" hidden="1" x14ac:dyDescent="0.25">
      <c r="A8826" t="s">
        <v>689</v>
      </c>
      <c r="B8826" t="s">
        <v>84</v>
      </c>
      <c r="E8826" s="3">
        <f>HYPERLINK("https://sao.dolgi.msk.ru/account/1404172903/", 1404172903)</f>
        <v>1404172903</v>
      </c>
      <c r="F8826">
        <v>-11186.65</v>
      </c>
    </row>
    <row r="8827" spans="1:6" hidden="1" x14ac:dyDescent="0.25">
      <c r="A8827" t="s">
        <v>689</v>
      </c>
      <c r="B8827" t="s">
        <v>85</v>
      </c>
      <c r="E8827" s="3">
        <f>HYPERLINK("https://sao.dolgi.msk.ru/account/1404293764/", 1404293764)</f>
        <v>1404293764</v>
      </c>
      <c r="F8827">
        <v>-40232.51</v>
      </c>
    </row>
    <row r="8828" spans="1:6" hidden="1" x14ac:dyDescent="0.25">
      <c r="A8828" t="s">
        <v>689</v>
      </c>
      <c r="B8828" t="s">
        <v>86</v>
      </c>
      <c r="E8828" s="3">
        <f>HYPERLINK("https://sao.dolgi.msk.ru/account/1404172911/", 1404172911)</f>
        <v>1404172911</v>
      </c>
      <c r="F8828">
        <v>-13392.12</v>
      </c>
    </row>
    <row r="8829" spans="1:6" hidden="1" x14ac:dyDescent="0.25">
      <c r="A8829" t="s">
        <v>689</v>
      </c>
      <c r="B8829" t="s">
        <v>87</v>
      </c>
      <c r="E8829" s="3">
        <f>HYPERLINK("https://sao.dolgi.msk.ru/account/1404172938/", 1404172938)</f>
        <v>1404172938</v>
      </c>
      <c r="F8829">
        <v>-13190.55</v>
      </c>
    </row>
    <row r="8830" spans="1:6" hidden="1" x14ac:dyDescent="0.25">
      <c r="A8830" t="s">
        <v>690</v>
      </c>
      <c r="B8830" t="s">
        <v>5</v>
      </c>
      <c r="E8830" s="3">
        <f>HYPERLINK("https://sao.dolgi.msk.ru/account/1404188104/", 1404188104)</f>
        <v>1404188104</v>
      </c>
      <c r="F8830">
        <v>-2174.73</v>
      </c>
    </row>
    <row r="8831" spans="1:6" hidden="1" x14ac:dyDescent="0.25">
      <c r="A8831" t="s">
        <v>690</v>
      </c>
      <c r="B8831" t="s">
        <v>6</v>
      </c>
      <c r="E8831" s="3">
        <f>HYPERLINK("https://sao.dolgi.msk.ru/account/1404187566/", 1404187566)</f>
        <v>1404187566</v>
      </c>
      <c r="F8831">
        <v>-1466.93</v>
      </c>
    </row>
    <row r="8832" spans="1:6" hidden="1" x14ac:dyDescent="0.25">
      <c r="A8832" t="s">
        <v>690</v>
      </c>
      <c r="B8832" t="s">
        <v>7</v>
      </c>
      <c r="E8832" s="3">
        <f>HYPERLINK("https://sao.dolgi.msk.ru/account/1404188155/", 1404188155)</f>
        <v>1404188155</v>
      </c>
      <c r="F8832">
        <v>-2210.6799999999998</v>
      </c>
    </row>
    <row r="8833" spans="1:6" hidden="1" x14ac:dyDescent="0.25">
      <c r="A8833" t="s">
        <v>690</v>
      </c>
      <c r="B8833" t="s">
        <v>8</v>
      </c>
      <c r="E8833" s="3">
        <f>HYPERLINK("https://sao.dolgi.msk.ru/account/1404188016/", 1404188016)</f>
        <v>1404188016</v>
      </c>
      <c r="F8833">
        <v>0</v>
      </c>
    </row>
    <row r="8834" spans="1:6" hidden="1" x14ac:dyDescent="0.25">
      <c r="A8834" t="s">
        <v>690</v>
      </c>
      <c r="B8834" t="s">
        <v>9</v>
      </c>
      <c r="E8834" s="3">
        <f>HYPERLINK("https://sao.dolgi.msk.ru/account/1404188497/", 1404188497)</f>
        <v>1404188497</v>
      </c>
      <c r="F8834">
        <v>0</v>
      </c>
    </row>
    <row r="8835" spans="1:6" hidden="1" x14ac:dyDescent="0.25">
      <c r="A8835" t="s">
        <v>690</v>
      </c>
      <c r="B8835" t="s">
        <v>10</v>
      </c>
      <c r="E8835" s="3">
        <f>HYPERLINK("https://sao.dolgi.msk.ru/account/1404187283/", 1404187283)</f>
        <v>1404187283</v>
      </c>
      <c r="F8835">
        <v>-2482.0500000000002</v>
      </c>
    </row>
    <row r="8836" spans="1:6" x14ac:dyDescent="0.25">
      <c r="A8836" t="s">
        <v>690</v>
      </c>
      <c r="B8836" t="s">
        <v>11</v>
      </c>
      <c r="C8836" s="5" t="str">
        <f t="shared" ref="C8836:C8837" si="390">" кв. "&amp;B8836</f>
        <v xml:space="preserve"> кв. 7</v>
      </c>
      <c r="D8836" s="5" t="str">
        <f>CONCATENATE(A8836,C8836)</f>
        <v>Ленинградское шоссе, дом 132 кв. 7</v>
      </c>
      <c r="E8836" s="3">
        <f>HYPERLINK("https://sao.dolgi.msk.ru/account/1404188008/", 1404188008)</f>
        <v>1404188008</v>
      </c>
      <c r="F8836">
        <v>1701.69</v>
      </c>
    </row>
    <row r="8837" spans="1:6" x14ac:dyDescent="0.25">
      <c r="A8837" t="s">
        <v>690</v>
      </c>
      <c r="B8837" t="s">
        <v>12</v>
      </c>
      <c r="C8837" s="5" t="str">
        <f t="shared" si="390"/>
        <v xml:space="preserve"> кв. 8</v>
      </c>
      <c r="D8837" s="5" t="str">
        <f>CONCATENATE(A8837,C8837)</f>
        <v>Ленинградское шоссе, дом 132 кв. 8</v>
      </c>
      <c r="E8837" s="3">
        <f>HYPERLINK("https://sao.dolgi.msk.ru/account/1404187208/", 1404187208)</f>
        <v>1404187208</v>
      </c>
      <c r="F8837">
        <v>2365.92</v>
      </c>
    </row>
    <row r="8838" spans="1:6" hidden="1" x14ac:dyDescent="0.25">
      <c r="A8838" t="s">
        <v>690</v>
      </c>
      <c r="B8838" t="s">
        <v>13</v>
      </c>
      <c r="E8838" s="3">
        <f>HYPERLINK("https://sao.dolgi.msk.ru/account/1404188753/", 1404188753)</f>
        <v>1404188753</v>
      </c>
      <c r="F8838">
        <v>-2849.34</v>
      </c>
    </row>
    <row r="8839" spans="1:6" x14ac:dyDescent="0.25">
      <c r="A8839" t="s">
        <v>690</v>
      </c>
      <c r="B8839" t="s">
        <v>14</v>
      </c>
      <c r="C8839" s="5" t="str">
        <f t="shared" ref="C8839:C8840" si="391">" кв. "&amp;B8839</f>
        <v xml:space="preserve"> кв. 10</v>
      </c>
      <c r="D8839" s="5" t="str">
        <f>CONCATENATE(A8839,C8839)</f>
        <v>Ленинградское шоссе, дом 132 кв. 10</v>
      </c>
      <c r="E8839" s="3">
        <f>HYPERLINK("https://sao.dolgi.msk.ru/account/1404187355/", 1404187355)</f>
        <v>1404187355</v>
      </c>
      <c r="F8839">
        <v>1698.53</v>
      </c>
    </row>
    <row r="8840" spans="1:6" x14ac:dyDescent="0.25">
      <c r="A8840" t="s">
        <v>690</v>
      </c>
      <c r="B8840" t="s">
        <v>15</v>
      </c>
      <c r="C8840" s="5" t="str">
        <f t="shared" si="391"/>
        <v xml:space="preserve"> кв. 11</v>
      </c>
      <c r="D8840" s="5" t="str">
        <f>CONCATENATE(A8840,C8840)</f>
        <v>Ленинградское шоссе, дом 132 кв. 11</v>
      </c>
      <c r="E8840" s="3">
        <f>HYPERLINK("https://sao.dolgi.msk.ru/account/1404187582/", 1404187582)</f>
        <v>1404187582</v>
      </c>
      <c r="F8840">
        <v>1701.69</v>
      </c>
    </row>
    <row r="8841" spans="1:6" hidden="1" x14ac:dyDescent="0.25">
      <c r="A8841" t="s">
        <v>690</v>
      </c>
      <c r="B8841" t="s">
        <v>16</v>
      </c>
      <c r="E8841" s="3">
        <f>HYPERLINK("https://sao.dolgi.msk.ru/account/1404187531/", 1404187531)</f>
        <v>1404187531</v>
      </c>
      <c r="F8841">
        <v>-3466.55</v>
      </c>
    </row>
    <row r="8842" spans="1:6" hidden="1" x14ac:dyDescent="0.25">
      <c r="A8842" t="s">
        <v>690</v>
      </c>
      <c r="B8842" t="s">
        <v>17</v>
      </c>
      <c r="E8842" s="3">
        <f>HYPERLINK("https://sao.dolgi.msk.ru/account/1404187734/", 1404187734)</f>
        <v>1404187734</v>
      </c>
      <c r="F8842">
        <v>-2293.23</v>
      </c>
    </row>
    <row r="8843" spans="1:6" x14ac:dyDescent="0.25">
      <c r="A8843" t="s">
        <v>690</v>
      </c>
      <c r="B8843" t="s">
        <v>18</v>
      </c>
      <c r="C8843" s="5" t="str">
        <f>" кв. "&amp;B8843</f>
        <v xml:space="preserve"> кв. 14</v>
      </c>
      <c r="D8843" s="5" t="str">
        <f>CONCATENATE(A8843,C8843)</f>
        <v>Ленинградское шоссе, дом 132 кв. 14</v>
      </c>
      <c r="E8843" s="3">
        <f>HYPERLINK("https://sao.dolgi.msk.ru/account/1404187312/", 1404187312)</f>
        <v>1404187312</v>
      </c>
      <c r="F8843">
        <v>1708.02</v>
      </c>
    </row>
    <row r="8844" spans="1:6" hidden="1" x14ac:dyDescent="0.25">
      <c r="A8844" t="s">
        <v>690</v>
      </c>
      <c r="B8844" t="s">
        <v>19</v>
      </c>
      <c r="E8844" s="3">
        <f>HYPERLINK("https://sao.dolgi.msk.ru/account/1404187937/", 1404187937)</f>
        <v>1404187937</v>
      </c>
      <c r="F8844">
        <v>-2495.92</v>
      </c>
    </row>
    <row r="8845" spans="1:6" hidden="1" x14ac:dyDescent="0.25">
      <c r="A8845" t="s">
        <v>690</v>
      </c>
      <c r="B8845" t="s">
        <v>20</v>
      </c>
      <c r="E8845" s="3">
        <f>HYPERLINK("https://sao.dolgi.msk.ru/account/1404188577/", 1404188577)</f>
        <v>1404188577</v>
      </c>
      <c r="F8845">
        <v>-3466.55</v>
      </c>
    </row>
    <row r="8846" spans="1:6" hidden="1" x14ac:dyDescent="0.25">
      <c r="A8846" t="s">
        <v>690</v>
      </c>
      <c r="B8846" t="s">
        <v>21</v>
      </c>
      <c r="E8846" s="3">
        <f>HYPERLINK("https://sao.dolgi.msk.ru/account/1404187558/", 1404187558)</f>
        <v>1404187558</v>
      </c>
      <c r="F8846">
        <v>-1068.04</v>
      </c>
    </row>
    <row r="8847" spans="1:6" hidden="1" x14ac:dyDescent="0.25">
      <c r="A8847" t="s">
        <v>690</v>
      </c>
      <c r="B8847" t="s">
        <v>22</v>
      </c>
      <c r="E8847" s="3">
        <f>HYPERLINK("https://sao.dolgi.msk.ru/account/1404188059/", 1404188059)</f>
        <v>1404188059</v>
      </c>
      <c r="F8847">
        <v>-2491.3000000000002</v>
      </c>
    </row>
    <row r="8848" spans="1:6" hidden="1" x14ac:dyDescent="0.25">
      <c r="A8848" t="s">
        <v>690</v>
      </c>
      <c r="B8848" t="s">
        <v>23</v>
      </c>
      <c r="E8848" s="3">
        <f>HYPERLINK("https://sao.dolgi.msk.ru/account/1404188286/", 1404188286)</f>
        <v>1404188286</v>
      </c>
      <c r="F8848">
        <v>0</v>
      </c>
    </row>
    <row r="8849" spans="1:6" hidden="1" x14ac:dyDescent="0.25">
      <c r="A8849" t="s">
        <v>690</v>
      </c>
      <c r="B8849" t="s">
        <v>24</v>
      </c>
      <c r="E8849" s="3">
        <f>HYPERLINK("https://sao.dolgi.msk.ru/account/1404188294/", 1404188294)</f>
        <v>1404188294</v>
      </c>
      <c r="F8849">
        <v>-3461.93</v>
      </c>
    </row>
    <row r="8850" spans="1:6" hidden="1" x14ac:dyDescent="0.25">
      <c r="A8850" t="s">
        <v>690</v>
      </c>
      <c r="B8850" t="s">
        <v>25</v>
      </c>
      <c r="E8850" s="3">
        <f>HYPERLINK("https://sao.dolgi.msk.ru/account/1404188585/", 1404188585)</f>
        <v>1404188585</v>
      </c>
      <c r="F8850">
        <v>-2530.58</v>
      </c>
    </row>
    <row r="8851" spans="1:6" hidden="1" x14ac:dyDescent="0.25">
      <c r="A8851" t="s">
        <v>690</v>
      </c>
      <c r="B8851" t="s">
        <v>26</v>
      </c>
      <c r="E8851" s="3">
        <f>HYPERLINK("https://sao.dolgi.msk.ru/account/1404187742/", 1404187742)</f>
        <v>1404187742</v>
      </c>
      <c r="F8851">
        <v>-2365.92</v>
      </c>
    </row>
    <row r="8852" spans="1:6" hidden="1" x14ac:dyDescent="0.25">
      <c r="A8852" t="s">
        <v>690</v>
      </c>
      <c r="B8852" t="s">
        <v>27</v>
      </c>
      <c r="E8852" s="3">
        <f>HYPERLINK("https://sao.dolgi.msk.ru/account/1404187363/", 1404187363)</f>
        <v>1404187363</v>
      </c>
      <c r="F8852">
        <v>-2505.17</v>
      </c>
    </row>
    <row r="8853" spans="1:6" hidden="1" x14ac:dyDescent="0.25">
      <c r="A8853" t="s">
        <v>690</v>
      </c>
      <c r="B8853" t="s">
        <v>28</v>
      </c>
      <c r="E8853" s="3">
        <f>HYPERLINK("https://sao.dolgi.msk.ru/account/1404188112/", 1404188112)</f>
        <v>1404188112</v>
      </c>
      <c r="F8853">
        <v>-1733.26</v>
      </c>
    </row>
    <row r="8854" spans="1:6" hidden="1" x14ac:dyDescent="0.25">
      <c r="A8854" t="s">
        <v>690</v>
      </c>
      <c r="B8854" t="s">
        <v>29</v>
      </c>
      <c r="E8854" s="3">
        <f>HYPERLINK("https://sao.dolgi.msk.ru/account/1404187371/", 1404187371)</f>
        <v>1404187371</v>
      </c>
      <c r="F8854">
        <v>-2845.45</v>
      </c>
    </row>
    <row r="8855" spans="1:6" hidden="1" x14ac:dyDescent="0.25">
      <c r="A8855" t="s">
        <v>690</v>
      </c>
      <c r="B8855" t="s">
        <v>30</v>
      </c>
      <c r="E8855" s="3">
        <f>HYPERLINK("https://sao.dolgi.msk.ru/account/1404187398/", 1404187398)</f>
        <v>1404187398</v>
      </c>
      <c r="F8855">
        <v>-2472.81</v>
      </c>
    </row>
    <row r="8856" spans="1:6" hidden="1" x14ac:dyDescent="0.25">
      <c r="A8856" t="s">
        <v>690</v>
      </c>
      <c r="B8856" t="s">
        <v>31</v>
      </c>
      <c r="E8856" s="3">
        <f>HYPERLINK("https://sao.dolgi.msk.ru/account/1404187806/", 1404187806)</f>
        <v>1404187806</v>
      </c>
      <c r="F8856">
        <v>-2491.3000000000002</v>
      </c>
    </row>
    <row r="8857" spans="1:6" hidden="1" x14ac:dyDescent="0.25">
      <c r="A8857" t="s">
        <v>690</v>
      </c>
      <c r="B8857" t="s">
        <v>32</v>
      </c>
      <c r="E8857" s="3">
        <f>HYPERLINK("https://sao.dolgi.msk.ru/account/1404188139/", 1404188139)</f>
        <v>1404188139</v>
      </c>
      <c r="F8857">
        <v>-2699.29</v>
      </c>
    </row>
    <row r="8858" spans="1:6" hidden="1" x14ac:dyDescent="0.25">
      <c r="A8858" t="s">
        <v>690</v>
      </c>
      <c r="B8858" t="s">
        <v>33</v>
      </c>
      <c r="E8858" s="3">
        <f>HYPERLINK("https://sao.dolgi.msk.ru/account/1404188147/", 1404188147)</f>
        <v>1404188147</v>
      </c>
      <c r="F8858">
        <v>-3137.99</v>
      </c>
    </row>
    <row r="8859" spans="1:6" hidden="1" x14ac:dyDescent="0.25">
      <c r="A8859" t="s">
        <v>690</v>
      </c>
      <c r="B8859" t="s">
        <v>34</v>
      </c>
      <c r="E8859" s="3">
        <f>HYPERLINK("https://sao.dolgi.msk.ru/account/1404187814/", 1404187814)</f>
        <v>1404187814</v>
      </c>
      <c r="F8859">
        <v>-2482.0500000000002</v>
      </c>
    </row>
    <row r="8860" spans="1:6" hidden="1" x14ac:dyDescent="0.25">
      <c r="A8860" t="s">
        <v>690</v>
      </c>
      <c r="B8860" t="s">
        <v>35</v>
      </c>
      <c r="E8860" s="3">
        <f>HYPERLINK("https://sao.dolgi.msk.ru/account/1404187822/", 1404187822)</f>
        <v>1404187822</v>
      </c>
      <c r="F8860">
        <v>-4188.3599999999997</v>
      </c>
    </row>
    <row r="8861" spans="1:6" hidden="1" x14ac:dyDescent="0.25">
      <c r="A8861" t="s">
        <v>690</v>
      </c>
      <c r="B8861" t="s">
        <v>36</v>
      </c>
      <c r="E8861" s="3">
        <f>HYPERLINK("https://sao.dolgi.msk.ru/account/1404188606/", 1404188606)</f>
        <v>1404188606</v>
      </c>
      <c r="F8861">
        <v>-4554.26</v>
      </c>
    </row>
    <row r="8862" spans="1:6" hidden="1" x14ac:dyDescent="0.25">
      <c r="A8862" t="s">
        <v>690</v>
      </c>
      <c r="B8862" t="s">
        <v>37</v>
      </c>
      <c r="E8862" s="3">
        <f>HYPERLINK("https://sao.dolgi.msk.ru/account/1404188307/", 1404188307)</f>
        <v>1404188307</v>
      </c>
      <c r="F8862">
        <v>-3378.73</v>
      </c>
    </row>
    <row r="8863" spans="1:6" hidden="1" x14ac:dyDescent="0.25">
      <c r="A8863" t="s">
        <v>690</v>
      </c>
      <c r="B8863" t="s">
        <v>38</v>
      </c>
      <c r="E8863" s="3">
        <f>HYPERLINK("https://sao.dolgi.msk.ru/account/1404187638/", 1404187638)</f>
        <v>1404187638</v>
      </c>
      <c r="F8863">
        <v>-1234.08</v>
      </c>
    </row>
    <row r="8864" spans="1:6" hidden="1" x14ac:dyDescent="0.25">
      <c r="A8864" t="s">
        <v>690</v>
      </c>
      <c r="B8864" t="s">
        <v>39</v>
      </c>
      <c r="E8864" s="3">
        <f>HYPERLINK("https://sao.dolgi.msk.ru/account/1404188614/", 1404188614)</f>
        <v>1404188614</v>
      </c>
      <c r="F8864">
        <v>-2500.54</v>
      </c>
    </row>
    <row r="8865" spans="1:6" hidden="1" x14ac:dyDescent="0.25">
      <c r="A8865" t="s">
        <v>690</v>
      </c>
      <c r="B8865" t="s">
        <v>40</v>
      </c>
      <c r="E8865" s="3">
        <f>HYPERLINK("https://sao.dolgi.msk.ru/account/1404188315/", 1404188315)</f>
        <v>1404188315</v>
      </c>
      <c r="F8865">
        <v>-3475.8</v>
      </c>
    </row>
    <row r="8866" spans="1:6" x14ac:dyDescent="0.25">
      <c r="A8866" t="s">
        <v>690</v>
      </c>
      <c r="B8866" t="s">
        <v>41</v>
      </c>
      <c r="C8866" s="5" t="str">
        <f>" кв. "&amp;B8866</f>
        <v xml:space="preserve"> кв. 37</v>
      </c>
      <c r="D8866" s="5" t="str">
        <f>CONCATENATE(A8866,C8866)</f>
        <v>Ленинградское шоссе, дом 132 кв. 37</v>
      </c>
      <c r="E8866" s="3">
        <f>HYPERLINK("https://sao.dolgi.msk.ru/account/1404188323/", 1404188323)</f>
        <v>1404188323</v>
      </c>
      <c r="F8866">
        <v>2312.15</v>
      </c>
    </row>
    <row r="8867" spans="1:6" hidden="1" x14ac:dyDescent="0.25">
      <c r="A8867" t="s">
        <v>690</v>
      </c>
      <c r="B8867" t="s">
        <v>42</v>
      </c>
      <c r="E8867" s="3">
        <f>HYPERLINK("https://sao.dolgi.msk.ru/account/1404188446/", 1404188446)</f>
        <v>1404188446</v>
      </c>
      <c r="F8867">
        <v>0</v>
      </c>
    </row>
    <row r="8868" spans="1:6" hidden="1" x14ac:dyDescent="0.25">
      <c r="A8868" t="s">
        <v>690</v>
      </c>
      <c r="B8868" t="s">
        <v>43</v>
      </c>
      <c r="E8868" s="3">
        <f>HYPERLINK("https://sao.dolgi.msk.ru/account/1404187881/", 1404187881)</f>
        <v>1404187881</v>
      </c>
      <c r="F8868">
        <v>-1437.75</v>
      </c>
    </row>
    <row r="8869" spans="1:6" hidden="1" x14ac:dyDescent="0.25">
      <c r="A8869" t="s">
        <v>690</v>
      </c>
      <c r="B8869" t="s">
        <v>44</v>
      </c>
      <c r="E8869" s="3">
        <f>HYPERLINK("https://sao.dolgi.msk.ru/account/1404188454/", 1404188454)</f>
        <v>1404188454</v>
      </c>
      <c r="F8869">
        <v>-2915.51</v>
      </c>
    </row>
    <row r="8870" spans="1:6" hidden="1" x14ac:dyDescent="0.25">
      <c r="A8870" t="s">
        <v>690</v>
      </c>
      <c r="B8870" t="s">
        <v>45</v>
      </c>
      <c r="E8870" s="3">
        <f>HYPERLINK("https://sao.dolgi.msk.ru/account/1404188657/", 1404188657)</f>
        <v>1404188657</v>
      </c>
      <c r="F8870">
        <v>-3244.49</v>
      </c>
    </row>
    <row r="8871" spans="1:6" hidden="1" x14ac:dyDescent="0.25">
      <c r="A8871" t="s">
        <v>690</v>
      </c>
      <c r="B8871" t="s">
        <v>46</v>
      </c>
      <c r="E8871" s="3">
        <f>HYPERLINK("https://sao.dolgi.msk.ru/account/1404188235/", 1404188235)</f>
        <v>1404188235</v>
      </c>
      <c r="F8871">
        <v>-1560.61</v>
      </c>
    </row>
    <row r="8872" spans="1:6" hidden="1" x14ac:dyDescent="0.25">
      <c r="A8872" t="s">
        <v>690</v>
      </c>
      <c r="B8872" t="s">
        <v>47</v>
      </c>
      <c r="E8872" s="3">
        <f>HYPERLINK("https://sao.dolgi.msk.ru/account/1404187259/", 1404187259)</f>
        <v>1404187259</v>
      </c>
      <c r="F8872">
        <v>-2500.54</v>
      </c>
    </row>
    <row r="8873" spans="1:6" hidden="1" x14ac:dyDescent="0.25">
      <c r="A8873" t="s">
        <v>690</v>
      </c>
      <c r="B8873" t="s">
        <v>48</v>
      </c>
      <c r="E8873" s="3">
        <f>HYPERLINK("https://sao.dolgi.msk.ru/account/1404187267/", 1404187267)</f>
        <v>1404187267</v>
      </c>
      <c r="F8873">
        <v>-3461.93</v>
      </c>
    </row>
    <row r="8874" spans="1:6" hidden="1" x14ac:dyDescent="0.25">
      <c r="A8874" t="s">
        <v>690</v>
      </c>
      <c r="B8874" t="s">
        <v>49</v>
      </c>
      <c r="E8874" s="3">
        <f>HYPERLINK("https://sao.dolgi.msk.ru/account/1404187902/", 1404187902)</f>
        <v>1404187902</v>
      </c>
      <c r="F8874">
        <v>0</v>
      </c>
    </row>
    <row r="8875" spans="1:6" hidden="1" x14ac:dyDescent="0.25">
      <c r="A8875" t="s">
        <v>690</v>
      </c>
      <c r="B8875" t="s">
        <v>50</v>
      </c>
      <c r="E8875" s="3">
        <f>HYPERLINK("https://sao.dolgi.msk.ru/account/1404188462/", 1404188462)</f>
        <v>1404188462</v>
      </c>
      <c r="F8875">
        <v>-2468.1799999999998</v>
      </c>
    </row>
    <row r="8876" spans="1:6" x14ac:dyDescent="0.25">
      <c r="A8876" t="s">
        <v>690</v>
      </c>
      <c r="B8876" t="s">
        <v>51</v>
      </c>
      <c r="C8876" s="5" t="str">
        <f>" кв. "&amp;B8876</f>
        <v xml:space="preserve"> кв. 47</v>
      </c>
      <c r="D8876" s="5" t="str">
        <f>CONCATENATE(A8876,C8876)</f>
        <v>Ленинградское шоссе, дом 132 кв. 47</v>
      </c>
      <c r="E8876" s="3">
        <f>HYPERLINK("https://sao.dolgi.msk.ru/account/1404188489/", 1404188489)</f>
        <v>1404188489</v>
      </c>
      <c r="F8876">
        <v>1704.86</v>
      </c>
    </row>
    <row r="8877" spans="1:6" hidden="1" x14ac:dyDescent="0.25">
      <c r="A8877" t="s">
        <v>690</v>
      </c>
      <c r="B8877" t="s">
        <v>52</v>
      </c>
      <c r="E8877" s="3">
        <f>HYPERLINK("https://sao.dolgi.msk.ru/account/1404187662/", 1404187662)</f>
        <v>1404187662</v>
      </c>
      <c r="F8877">
        <v>-3466.55</v>
      </c>
    </row>
    <row r="8878" spans="1:6" hidden="1" x14ac:dyDescent="0.25">
      <c r="A8878" t="s">
        <v>690</v>
      </c>
      <c r="B8878" t="s">
        <v>53</v>
      </c>
      <c r="E8878" s="3">
        <f>HYPERLINK("https://sao.dolgi.msk.ru/account/1404188665/", 1404188665)</f>
        <v>1404188665</v>
      </c>
      <c r="F8878">
        <v>-2315.3200000000002</v>
      </c>
    </row>
    <row r="8879" spans="1:6" hidden="1" x14ac:dyDescent="0.25">
      <c r="A8879" t="s">
        <v>690</v>
      </c>
      <c r="B8879" t="s">
        <v>54</v>
      </c>
      <c r="E8879" s="3">
        <f>HYPERLINK("https://sao.dolgi.msk.ru/account/1404188673/", 1404188673)</f>
        <v>1404188673</v>
      </c>
      <c r="F8879">
        <v>-2482.0500000000002</v>
      </c>
    </row>
    <row r="8880" spans="1:6" hidden="1" x14ac:dyDescent="0.25">
      <c r="A8880" t="s">
        <v>690</v>
      </c>
      <c r="B8880" t="s">
        <v>55</v>
      </c>
      <c r="E8880" s="3">
        <f>HYPERLINK("https://sao.dolgi.msk.ru/account/1404188243/", 1404188243)</f>
        <v>1404188243</v>
      </c>
      <c r="F8880">
        <v>-2491.3000000000002</v>
      </c>
    </row>
    <row r="8881" spans="1:6" hidden="1" x14ac:dyDescent="0.25">
      <c r="A8881" t="s">
        <v>690</v>
      </c>
      <c r="B8881" t="s">
        <v>56</v>
      </c>
      <c r="E8881" s="3">
        <f>HYPERLINK("https://sao.dolgi.msk.ru/account/1404188518/", 1404188518)</f>
        <v>1404188518</v>
      </c>
      <c r="F8881">
        <v>-2073.2600000000002</v>
      </c>
    </row>
    <row r="8882" spans="1:6" x14ac:dyDescent="0.25">
      <c r="A8882" t="s">
        <v>690</v>
      </c>
      <c r="B8882" t="s">
        <v>57</v>
      </c>
      <c r="C8882" s="5" t="str">
        <f>" кв. "&amp;B8882</f>
        <v xml:space="preserve"> кв. 53</v>
      </c>
      <c r="D8882" s="5" t="str">
        <f>CONCATENATE(A8882,C8882)</f>
        <v>Ленинградское шоссе, дом 132 кв. 53</v>
      </c>
      <c r="E8882" s="3">
        <f>HYPERLINK("https://sao.dolgi.msk.ru/account/1404187478/", 1404187478)</f>
        <v>1404187478</v>
      </c>
      <c r="F8882">
        <v>2315.3200000000002</v>
      </c>
    </row>
    <row r="8883" spans="1:6" hidden="1" x14ac:dyDescent="0.25">
      <c r="A8883" t="s">
        <v>690</v>
      </c>
      <c r="B8883" t="s">
        <v>58</v>
      </c>
      <c r="E8883" s="3">
        <f>HYPERLINK("https://sao.dolgi.msk.ru/account/1404187275/", 1404187275)</f>
        <v>1404187275</v>
      </c>
      <c r="F8883">
        <v>-1110.78</v>
      </c>
    </row>
    <row r="8884" spans="1:6" hidden="1" x14ac:dyDescent="0.25">
      <c r="A8884" t="s">
        <v>690</v>
      </c>
      <c r="B8884" t="s">
        <v>58</v>
      </c>
      <c r="E8884" s="3">
        <f>HYPERLINK("https://sao.dolgi.msk.ru/account/1404187486/", 1404187486)</f>
        <v>1404187486</v>
      </c>
      <c r="F8884">
        <v>-1154.83</v>
      </c>
    </row>
    <row r="8885" spans="1:6" hidden="1" x14ac:dyDescent="0.25">
      <c r="A8885" t="s">
        <v>690</v>
      </c>
      <c r="B8885" t="s">
        <v>59</v>
      </c>
      <c r="E8885" s="3">
        <f>HYPERLINK("https://sao.dolgi.msk.ru/account/1404188526/", 1404188526)</f>
        <v>1404188526</v>
      </c>
      <c r="F8885">
        <v>-2486.67</v>
      </c>
    </row>
    <row r="8886" spans="1:6" x14ac:dyDescent="0.25">
      <c r="A8886" t="s">
        <v>690</v>
      </c>
      <c r="B8886" t="s">
        <v>60</v>
      </c>
      <c r="C8886" s="5" t="str">
        <f t="shared" ref="C8886:C8887" si="392">" кв. "&amp;B8886</f>
        <v xml:space="preserve"> кв. 56</v>
      </c>
      <c r="D8886" s="5" t="str">
        <f>CONCATENATE(A8886,C8886)</f>
        <v>Ленинградское шоссе, дом 132 кв. 56</v>
      </c>
      <c r="E8886" s="3">
        <f>HYPERLINK("https://sao.dolgi.msk.ru/account/1404187689/", 1404187689)</f>
        <v>1404187689</v>
      </c>
      <c r="F8886">
        <v>2365.92</v>
      </c>
    </row>
    <row r="8887" spans="1:6" x14ac:dyDescent="0.25">
      <c r="A8887" t="s">
        <v>690</v>
      </c>
      <c r="B8887" t="s">
        <v>61</v>
      </c>
      <c r="C8887" s="5" t="str">
        <f t="shared" si="392"/>
        <v xml:space="preserve"> кв. 57</v>
      </c>
      <c r="D8887" s="5" t="str">
        <f>CONCATENATE(A8887,C8887)</f>
        <v>Ленинградское шоссе, дом 132 кв. 57</v>
      </c>
      <c r="E8887" s="3">
        <f>HYPERLINK("https://sao.dolgi.msk.ru/account/1404187697/", 1404187697)</f>
        <v>1404187697</v>
      </c>
      <c r="F8887">
        <v>2321.64</v>
      </c>
    </row>
    <row r="8888" spans="1:6" hidden="1" x14ac:dyDescent="0.25">
      <c r="A8888" t="s">
        <v>690</v>
      </c>
      <c r="B8888" t="s">
        <v>62</v>
      </c>
      <c r="E8888" s="3">
        <f>HYPERLINK("https://sao.dolgi.msk.ru/account/1404187494/", 1404187494)</f>
        <v>1404187494</v>
      </c>
      <c r="F8888">
        <v>-1236.4100000000001</v>
      </c>
    </row>
    <row r="8889" spans="1:6" hidden="1" x14ac:dyDescent="0.25">
      <c r="A8889" t="s">
        <v>690</v>
      </c>
      <c r="B8889" t="s">
        <v>63</v>
      </c>
      <c r="E8889" s="3">
        <f>HYPERLINK("https://sao.dolgi.msk.ru/account/1404188681/", 1404188681)</f>
        <v>1404188681</v>
      </c>
      <c r="F8889">
        <v>0</v>
      </c>
    </row>
    <row r="8890" spans="1:6" hidden="1" x14ac:dyDescent="0.25">
      <c r="A8890" t="s">
        <v>690</v>
      </c>
      <c r="B8890" t="s">
        <v>64</v>
      </c>
      <c r="E8890" s="3">
        <f>HYPERLINK("https://sao.dolgi.msk.ru/account/1404188534/", 1404188534)</f>
        <v>1404188534</v>
      </c>
      <c r="F8890">
        <v>-1875.6</v>
      </c>
    </row>
    <row r="8891" spans="1:6" x14ac:dyDescent="0.25">
      <c r="A8891" t="s">
        <v>690</v>
      </c>
      <c r="B8891" t="s">
        <v>65</v>
      </c>
      <c r="C8891" s="5" t="str">
        <f>" кв. "&amp;B8891</f>
        <v xml:space="preserve"> кв. 61</v>
      </c>
      <c r="D8891" s="5" t="str">
        <f>CONCATENATE(A8891,C8891)</f>
        <v>Ленинградское шоссе, дом 132 кв. 61</v>
      </c>
      <c r="E8891" s="3">
        <f>HYPERLINK("https://sao.dolgi.msk.ru/account/1404187507/", 1404187507)</f>
        <v>1404187507</v>
      </c>
      <c r="F8891">
        <v>2324.81</v>
      </c>
    </row>
    <row r="8892" spans="1:6" hidden="1" x14ac:dyDescent="0.25">
      <c r="A8892" t="s">
        <v>690</v>
      </c>
      <c r="B8892" t="s">
        <v>66</v>
      </c>
      <c r="E8892" s="3">
        <f>HYPERLINK("https://sao.dolgi.msk.ru/account/1404187515/", 1404187515)</f>
        <v>1404187515</v>
      </c>
      <c r="F8892">
        <v>-1568.39</v>
      </c>
    </row>
    <row r="8893" spans="1:6" hidden="1" x14ac:dyDescent="0.25">
      <c r="A8893" t="s">
        <v>690</v>
      </c>
      <c r="B8893" t="s">
        <v>67</v>
      </c>
      <c r="E8893" s="3">
        <f>HYPERLINK("https://sao.dolgi.msk.ru/account/1404187718/", 1404187718)</f>
        <v>1404187718</v>
      </c>
      <c r="F8893">
        <v>0</v>
      </c>
    </row>
    <row r="8894" spans="1:6" x14ac:dyDescent="0.25">
      <c r="A8894" t="s">
        <v>690</v>
      </c>
      <c r="B8894" t="s">
        <v>68</v>
      </c>
      <c r="C8894" s="5" t="str">
        <f>" кв. "&amp;B8894</f>
        <v xml:space="preserve"> кв. 64</v>
      </c>
      <c r="D8894" s="5" t="str">
        <f>CONCATENATE(A8894,C8894)</f>
        <v>Ленинградское шоссе, дом 132 кв. 64</v>
      </c>
      <c r="E8894" s="3">
        <f>HYPERLINK("https://sao.dolgi.msk.ru/account/1404188251/", 1404188251)</f>
        <v>1404188251</v>
      </c>
      <c r="F8894">
        <v>2356.44</v>
      </c>
    </row>
    <row r="8895" spans="1:6" hidden="1" x14ac:dyDescent="0.25">
      <c r="A8895" t="s">
        <v>690</v>
      </c>
      <c r="B8895" t="s">
        <v>69</v>
      </c>
      <c r="E8895" s="3">
        <f>HYPERLINK("https://sao.dolgi.msk.ru/account/1404187291/", 1404187291)</f>
        <v>1404187291</v>
      </c>
      <c r="F8895">
        <v>-3077.69</v>
      </c>
    </row>
    <row r="8896" spans="1:6" hidden="1" x14ac:dyDescent="0.25">
      <c r="A8896" t="s">
        <v>690</v>
      </c>
      <c r="B8896" t="s">
        <v>70</v>
      </c>
      <c r="E8896" s="3">
        <f>HYPERLINK("https://sao.dolgi.msk.ru/account/1404188622/", 1404188622)</f>
        <v>1404188622</v>
      </c>
      <c r="F8896">
        <v>0</v>
      </c>
    </row>
    <row r="8897" spans="1:6" hidden="1" x14ac:dyDescent="0.25">
      <c r="A8897" t="s">
        <v>690</v>
      </c>
      <c r="B8897" t="s">
        <v>71</v>
      </c>
      <c r="E8897" s="3">
        <f>HYPERLINK("https://sao.dolgi.msk.ru/account/1404188366/", 1404188366)</f>
        <v>1404188366</v>
      </c>
      <c r="F8897">
        <v>0</v>
      </c>
    </row>
    <row r="8898" spans="1:6" hidden="1" x14ac:dyDescent="0.25">
      <c r="A8898" t="s">
        <v>690</v>
      </c>
      <c r="B8898" t="s">
        <v>72</v>
      </c>
      <c r="E8898" s="3">
        <f>HYPERLINK("https://sao.dolgi.msk.ru/account/1404188796/", 1404188796)</f>
        <v>1404188796</v>
      </c>
      <c r="F8898">
        <v>-2033.2</v>
      </c>
    </row>
    <row r="8899" spans="1:6" x14ac:dyDescent="0.25">
      <c r="A8899" t="s">
        <v>690</v>
      </c>
      <c r="B8899" t="s">
        <v>73</v>
      </c>
      <c r="C8899" s="5" t="str">
        <f>" кв. "&amp;B8899</f>
        <v xml:space="preserve"> кв. 69</v>
      </c>
      <c r="D8899" s="5" t="str">
        <f>CONCATENATE(A8899,C8899)</f>
        <v>Ленинградское шоссе, дом 132 кв. 69</v>
      </c>
      <c r="E8899" s="3">
        <f>HYPERLINK("https://sao.dolgi.msk.ru/account/1404187435/", 1404187435)</f>
        <v>1404187435</v>
      </c>
      <c r="F8899">
        <v>2372.25</v>
      </c>
    </row>
    <row r="8900" spans="1:6" hidden="1" x14ac:dyDescent="0.25">
      <c r="A8900" t="s">
        <v>690</v>
      </c>
      <c r="B8900" t="s">
        <v>74</v>
      </c>
      <c r="E8900" s="3">
        <f>HYPERLINK("https://sao.dolgi.msk.ru/account/1404187873/", 1404187873)</f>
        <v>1404187873</v>
      </c>
      <c r="F8900">
        <v>-2477.4299999999998</v>
      </c>
    </row>
    <row r="8901" spans="1:6" hidden="1" x14ac:dyDescent="0.25">
      <c r="A8901" t="s">
        <v>690</v>
      </c>
      <c r="B8901" t="s">
        <v>75</v>
      </c>
      <c r="E8901" s="3">
        <f>HYPERLINK("https://sao.dolgi.msk.ru/account/1404187646/", 1404187646)</f>
        <v>1404187646</v>
      </c>
      <c r="F8901">
        <v>-1243.3399999999999</v>
      </c>
    </row>
    <row r="8902" spans="1:6" hidden="1" x14ac:dyDescent="0.25">
      <c r="A8902" t="s">
        <v>690</v>
      </c>
      <c r="B8902" t="s">
        <v>76</v>
      </c>
      <c r="E8902" s="3">
        <f>HYPERLINK("https://sao.dolgi.msk.ru/account/1404187195/", 1404187195)</f>
        <v>1404187195</v>
      </c>
      <c r="F8902">
        <v>-3392.6</v>
      </c>
    </row>
    <row r="8903" spans="1:6" x14ac:dyDescent="0.25">
      <c r="A8903" t="s">
        <v>690</v>
      </c>
      <c r="B8903" t="s">
        <v>77</v>
      </c>
      <c r="C8903" s="5" t="str">
        <f>" кв. "&amp;B8903</f>
        <v xml:space="preserve"> кв. 73</v>
      </c>
      <c r="D8903" s="5" t="str">
        <f>CONCATENATE(A8903,C8903)</f>
        <v>Ленинградское шоссе, дом 132 кв. 73</v>
      </c>
      <c r="E8903" s="3">
        <f>HYPERLINK("https://sao.dolgi.msk.ru/account/1404188171/", 1404188171)</f>
        <v>1404188171</v>
      </c>
      <c r="F8903">
        <v>1850.35</v>
      </c>
    </row>
    <row r="8904" spans="1:6" hidden="1" x14ac:dyDescent="0.25">
      <c r="A8904" t="s">
        <v>690</v>
      </c>
      <c r="B8904" t="s">
        <v>78</v>
      </c>
      <c r="E8904" s="3">
        <f>HYPERLINK("https://sao.dolgi.msk.ru/account/1404188649/", 1404188649)</f>
        <v>1404188649</v>
      </c>
      <c r="F8904">
        <v>-2491.3000000000002</v>
      </c>
    </row>
    <row r="8905" spans="1:6" hidden="1" x14ac:dyDescent="0.25">
      <c r="A8905" t="s">
        <v>690</v>
      </c>
      <c r="B8905" t="s">
        <v>79</v>
      </c>
      <c r="E8905" s="3">
        <f>HYPERLINK("https://sao.dolgi.msk.ru/account/1404187443/", 1404187443)</f>
        <v>1404187443</v>
      </c>
      <c r="F8905">
        <v>-2098.08</v>
      </c>
    </row>
    <row r="8906" spans="1:6" x14ac:dyDescent="0.25">
      <c r="A8906" t="s">
        <v>690</v>
      </c>
      <c r="B8906" t="s">
        <v>80</v>
      </c>
      <c r="C8906" s="5" t="str">
        <f>" кв. "&amp;B8906</f>
        <v xml:space="preserve"> кв. 76</v>
      </c>
      <c r="D8906" s="5" t="str">
        <f>CONCATENATE(A8906,C8906)</f>
        <v>Ленинградское шоссе, дом 132 кв. 76</v>
      </c>
      <c r="E8906" s="3">
        <f>HYPERLINK("https://sao.dolgi.msk.ru/account/1404188382/", 1404188382)</f>
        <v>1404188382</v>
      </c>
      <c r="F8906">
        <v>2315.3200000000002</v>
      </c>
    </row>
    <row r="8907" spans="1:6" hidden="1" x14ac:dyDescent="0.25">
      <c r="A8907" t="s">
        <v>690</v>
      </c>
      <c r="B8907" t="s">
        <v>81</v>
      </c>
      <c r="E8907" s="3">
        <f>HYPERLINK("https://sao.dolgi.msk.ru/account/1404188198/", 1404188198)</f>
        <v>1404188198</v>
      </c>
      <c r="F8907">
        <v>-576.55999999999995</v>
      </c>
    </row>
    <row r="8908" spans="1:6" x14ac:dyDescent="0.25">
      <c r="A8908" t="s">
        <v>690</v>
      </c>
      <c r="B8908" t="s">
        <v>81</v>
      </c>
      <c r="C8908" s="5" t="str">
        <f t="shared" ref="C8908:C8909" si="393">" кв. "&amp;B8908</f>
        <v xml:space="preserve"> кв. 77</v>
      </c>
      <c r="D8908" s="5" t="str">
        <f>CONCATENATE(A8908,C8908)</f>
        <v>Ленинградское шоссе, дом 132 кв. 77</v>
      </c>
      <c r="E8908" s="3">
        <f>HYPERLINK("https://sao.dolgi.msk.ru/account/1404188374/", 1404188374)</f>
        <v>1404188374</v>
      </c>
      <c r="F8908">
        <v>789.11</v>
      </c>
    </row>
    <row r="8909" spans="1:6" x14ac:dyDescent="0.25">
      <c r="A8909" t="s">
        <v>690</v>
      </c>
      <c r="B8909" t="s">
        <v>81</v>
      </c>
      <c r="C8909" s="5" t="str">
        <f t="shared" si="393"/>
        <v xml:space="preserve"> кв. 77</v>
      </c>
      <c r="D8909" s="5" t="str">
        <f>CONCATENATE(A8909,C8909)</f>
        <v>Ленинградское шоссе, дом 132 кв. 77</v>
      </c>
      <c r="E8909" s="3">
        <f>HYPERLINK("https://sao.dolgi.msk.ru/account/1404188809/", 1404188809)</f>
        <v>1404188809</v>
      </c>
      <c r="F8909">
        <v>813.02</v>
      </c>
    </row>
    <row r="8910" spans="1:6" hidden="1" x14ac:dyDescent="0.25">
      <c r="A8910" t="s">
        <v>690</v>
      </c>
      <c r="B8910" t="s">
        <v>82</v>
      </c>
      <c r="E8910" s="3">
        <f>HYPERLINK("https://sao.dolgi.msk.ru/account/1404188403/", 1404188403)</f>
        <v>1404188403</v>
      </c>
      <c r="F8910">
        <v>-1586.33</v>
      </c>
    </row>
    <row r="8911" spans="1:6" hidden="1" x14ac:dyDescent="0.25">
      <c r="A8911" t="s">
        <v>690</v>
      </c>
      <c r="B8911" t="s">
        <v>83</v>
      </c>
      <c r="E8911" s="3">
        <f>HYPERLINK("https://sao.dolgi.msk.ru/account/1404188219/", 1404188219)</f>
        <v>1404188219</v>
      </c>
      <c r="F8911">
        <v>-2482.0500000000002</v>
      </c>
    </row>
    <row r="8912" spans="1:6" hidden="1" x14ac:dyDescent="0.25">
      <c r="A8912" t="s">
        <v>690</v>
      </c>
      <c r="B8912" t="s">
        <v>84</v>
      </c>
      <c r="E8912" s="3">
        <f>HYPERLINK("https://sao.dolgi.msk.ru/account/1404188411/", 1404188411)</f>
        <v>1404188411</v>
      </c>
      <c r="F8912">
        <v>-2487.63</v>
      </c>
    </row>
    <row r="8913" spans="1:6" x14ac:dyDescent="0.25">
      <c r="A8913" t="s">
        <v>690</v>
      </c>
      <c r="B8913" t="s">
        <v>85</v>
      </c>
      <c r="C8913" s="5" t="str">
        <f>" кв. "&amp;B8913</f>
        <v xml:space="preserve"> кв. 81</v>
      </c>
      <c r="D8913" s="5" t="str">
        <f>CONCATENATE(A8913,C8913)</f>
        <v>Ленинградское шоссе, дом 132 кв. 81</v>
      </c>
      <c r="E8913" s="3">
        <f>HYPERLINK("https://sao.dolgi.msk.ru/account/1404187451/", 1404187451)</f>
        <v>1404187451</v>
      </c>
      <c r="F8913">
        <v>2375.41</v>
      </c>
    </row>
    <row r="8914" spans="1:6" hidden="1" x14ac:dyDescent="0.25">
      <c r="A8914" t="s">
        <v>690</v>
      </c>
      <c r="B8914" t="s">
        <v>86</v>
      </c>
      <c r="E8914" s="3">
        <f>HYPERLINK("https://sao.dolgi.msk.ru/account/1404188438/", 1404188438)</f>
        <v>1404188438</v>
      </c>
      <c r="F8914">
        <v>0</v>
      </c>
    </row>
    <row r="8915" spans="1:6" hidden="1" x14ac:dyDescent="0.25">
      <c r="A8915" t="s">
        <v>690</v>
      </c>
      <c r="B8915" t="s">
        <v>87</v>
      </c>
      <c r="E8915" s="3">
        <f>HYPERLINK("https://sao.dolgi.msk.ru/account/1404187216/", 1404187216)</f>
        <v>1404187216</v>
      </c>
      <c r="F8915">
        <v>0</v>
      </c>
    </row>
    <row r="8916" spans="1:6" hidden="1" x14ac:dyDescent="0.25">
      <c r="A8916" t="s">
        <v>690</v>
      </c>
      <c r="B8916" t="s">
        <v>88</v>
      </c>
      <c r="E8916" s="3">
        <f>HYPERLINK("https://sao.dolgi.msk.ru/account/1404187224/", 1404187224)</f>
        <v>1404187224</v>
      </c>
      <c r="F8916">
        <v>-3401.85</v>
      </c>
    </row>
    <row r="8917" spans="1:6" hidden="1" x14ac:dyDescent="0.25">
      <c r="A8917" t="s">
        <v>690</v>
      </c>
      <c r="B8917" t="s">
        <v>89</v>
      </c>
      <c r="E8917" s="3">
        <f>HYPERLINK("https://sao.dolgi.msk.ru/account/1404187654/", 1404187654)</f>
        <v>1404187654</v>
      </c>
      <c r="F8917">
        <v>0</v>
      </c>
    </row>
    <row r="8918" spans="1:6" hidden="1" x14ac:dyDescent="0.25">
      <c r="A8918" t="s">
        <v>690</v>
      </c>
      <c r="B8918" t="s">
        <v>90</v>
      </c>
      <c r="E8918" s="3">
        <f>HYPERLINK("https://sao.dolgi.msk.ru/account/1404187232/", 1404187232)</f>
        <v>1404187232</v>
      </c>
      <c r="F8918">
        <v>-1238.71</v>
      </c>
    </row>
    <row r="8919" spans="1:6" x14ac:dyDescent="0.25">
      <c r="A8919" t="s">
        <v>690</v>
      </c>
      <c r="B8919" t="s">
        <v>91</v>
      </c>
      <c r="C8919" s="5" t="str">
        <f>" кв. "&amp;B8919</f>
        <v xml:space="preserve"> кв. 87</v>
      </c>
      <c r="D8919" s="5" t="str">
        <f>CONCATENATE(A8919,C8919)</f>
        <v>Ленинградское шоссе, дом 132 кв. 87</v>
      </c>
      <c r="E8919" s="3">
        <f>HYPERLINK("https://sao.dolgi.msk.ru/account/1404188227/", 1404188227)</f>
        <v>1404188227</v>
      </c>
      <c r="F8919">
        <v>1698.53</v>
      </c>
    </row>
    <row r="8920" spans="1:6" hidden="1" x14ac:dyDescent="0.25">
      <c r="A8920" t="s">
        <v>690</v>
      </c>
      <c r="B8920" t="s">
        <v>92</v>
      </c>
      <c r="E8920" s="3">
        <f>HYPERLINK("https://sao.dolgi.msk.ru/account/1404188163/", 1404188163)</f>
        <v>1404188163</v>
      </c>
      <c r="F8920">
        <v>-1689.37</v>
      </c>
    </row>
    <row r="8921" spans="1:6" hidden="1" x14ac:dyDescent="0.25">
      <c r="A8921" t="s">
        <v>690</v>
      </c>
      <c r="B8921" t="s">
        <v>93</v>
      </c>
      <c r="E8921" s="3">
        <f>HYPERLINK("https://sao.dolgi.msk.ru/account/1404187849/", 1404187849)</f>
        <v>1404187849</v>
      </c>
      <c r="F8921">
        <v>-3201.5</v>
      </c>
    </row>
    <row r="8922" spans="1:6" hidden="1" x14ac:dyDescent="0.25">
      <c r="A8922" t="s">
        <v>690</v>
      </c>
      <c r="B8922" t="s">
        <v>94</v>
      </c>
      <c r="E8922" s="3">
        <f>HYPERLINK("https://sao.dolgi.msk.ru/account/1404187419/", 1404187419)</f>
        <v>1404187419</v>
      </c>
      <c r="F8922">
        <v>0</v>
      </c>
    </row>
    <row r="8923" spans="1:6" hidden="1" x14ac:dyDescent="0.25">
      <c r="A8923" t="s">
        <v>690</v>
      </c>
      <c r="B8923" t="s">
        <v>95</v>
      </c>
      <c r="E8923" s="3">
        <f>HYPERLINK("https://sao.dolgi.msk.ru/account/1404187857/", 1404187857)</f>
        <v>1404187857</v>
      </c>
      <c r="F8923">
        <v>-1245.6500000000001</v>
      </c>
    </row>
    <row r="8924" spans="1:6" hidden="1" x14ac:dyDescent="0.25">
      <c r="A8924" t="s">
        <v>690</v>
      </c>
      <c r="B8924" t="s">
        <v>96</v>
      </c>
      <c r="E8924" s="3">
        <f>HYPERLINK("https://sao.dolgi.msk.ru/account/1404187988/", 1404187988)</f>
        <v>1404187988</v>
      </c>
      <c r="F8924">
        <v>-2616.09</v>
      </c>
    </row>
    <row r="8925" spans="1:6" hidden="1" x14ac:dyDescent="0.25">
      <c r="A8925" t="s">
        <v>690</v>
      </c>
      <c r="B8925" t="s">
        <v>97</v>
      </c>
      <c r="E8925" s="3">
        <f>HYPERLINK("https://sao.dolgi.msk.ru/account/1404188331/", 1404188331)</f>
        <v>1404188331</v>
      </c>
      <c r="F8925">
        <v>0</v>
      </c>
    </row>
    <row r="8926" spans="1:6" hidden="1" x14ac:dyDescent="0.25">
      <c r="A8926" t="s">
        <v>690</v>
      </c>
      <c r="B8926" t="s">
        <v>98</v>
      </c>
      <c r="E8926" s="3">
        <f>HYPERLINK("https://sao.dolgi.msk.ru/account/1404188761/", 1404188761)</f>
        <v>1404188761</v>
      </c>
      <c r="F8926">
        <v>-2472.81</v>
      </c>
    </row>
    <row r="8927" spans="1:6" hidden="1" x14ac:dyDescent="0.25">
      <c r="A8927" t="s">
        <v>690</v>
      </c>
      <c r="B8927" t="s">
        <v>99</v>
      </c>
      <c r="E8927" s="3">
        <f>HYPERLINK("https://sao.dolgi.msk.ru/account/1404188358/", 1404188358)</f>
        <v>1404188358</v>
      </c>
      <c r="F8927">
        <v>-1189.2</v>
      </c>
    </row>
    <row r="8928" spans="1:6" hidden="1" x14ac:dyDescent="0.25">
      <c r="A8928" t="s">
        <v>690</v>
      </c>
      <c r="B8928" t="s">
        <v>100</v>
      </c>
      <c r="E8928" s="3">
        <f>HYPERLINK("https://sao.dolgi.msk.ru/account/1404188788/", 1404188788)</f>
        <v>1404188788</v>
      </c>
      <c r="F8928">
        <v>-2473.7600000000002</v>
      </c>
    </row>
    <row r="8929" spans="1:6" hidden="1" x14ac:dyDescent="0.25">
      <c r="A8929" t="s">
        <v>690</v>
      </c>
      <c r="B8929" t="s">
        <v>101</v>
      </c>
      <c r="E8929" s="3">
        <f>HYPERLINK("https://sao.dolgi.msk.ru/account/1404187427/", 1404187427)</f>
        <v>1404187427</v>
      </c>
      <c r="F8929">
        <v>-1084.74</v>
      </c>
    </row>
    <row r="8930" spans="1:6" hidden="1" x14ac:dyDescent="0.25">
      <c r="A8930" t="s">
        <v>690</v>
      </c>
      <c r="B8930" t="s">
        <v>101</v>
      </c>
      <c r="E8930" s="3">
        <f>HYPERLINK("https://sao.dolgi.msk.ru/account/1404188745/", 1404188745)</f>
        <v>1404188745</v>
      </c>
      <c r="F8930">
        <v>-2386.44</v>
      </c>
    </row>
    <row r="8931" spans="1:6" hidden="1" x14ac:dyDescent="0.25">
      <c r="A8931" t="s">
        <v>690</v>
      </c>
      <c r="B8931" t="s">
        <v>102</v>
      </c>
      <c r="E8931" s="3">
        <f>HYPERLINK("https://sao.dolgi.msk.ru/account/1404187865/", 1404187865)</f>
        <v>1404187865</v>
      </c>
      <c r="F8931">
        <v>0</v>
      </c>
    </row>
    <row r="8932" spans="1:6" x14ac:dyDescent="0.25">
      <c r="A8932" t="s">
        <v>690</v>
      </c>
      <c r="B8932" t="s">
        <v>103</v>
      </c>
      <c r="C8932" s="5" t="str">
        <f>" кв. "&amp;B8932</f>
        <v xml:space="preserve"> кв. 99</v>
      </c>
      <c r="D8932" s="5" t="str">
        <f>CONCATENATE(A8932,C8932)</f>
        <v>Ленинградское шоссе, дом 132 кв. 99</v>
      </c>
      <c r="E8932" s="3">
        <f>HYPERLINK("https://sao.dolgi.msk.ru/account/1404187996/", 1404187996)</f>
        <v>1404187996</v>
      </c>
      <c r="F8932">
        <v>2131.0700000000002</v>
      </c>
    </row>
    <row r="8933" spans="1:6" hidden="1" x14ac:dyDescent="0.25">
      <c r="A8933" t="s">
        <v>690</v>
      </c>
      <c r="B8933" t="s">
        <v>104</v>
      </c>
      <c r="E8933" s="3">
        <f>HYPERLINK("https://sao.dolgi.msk.ru/account/1404187961/", 1404187961)</f>
        <v>1404187961</v>
      </c>
      <c r="F8933">
        <v>-2849.34</v>
      </c>
    </row>
    <row r="8934" spans="1:6" x14ac:dyDescent="0.25">
      <c r="A8934" t="s">
        <v>690</v>
      </c>
      <c r="B8934" t="s">
        <v>105</v>
      </c>
      <c r="C8934" s="5" t="str">
        <f>" кв. "&amp;B8934</f>
        <v xml:space="preserve"> кв. 101</v>
      </c>
      <c r="D8934" s="5" t="str">
        <f>CONCATENATE(A8934,C8934)</f>
        <v>Ленинградское шоссе, дом 132 кв. 101</v>
      </c>
      <c r="E8934" s="3">
        <f>HYPERLINK("https://sao.dolgi.msk.ru/account/1404187785/", 1404187785)</f>
        <v>1404187785</v>
      </c>
      <c r="F8934">
        <v>2378.58</v>
      </c>
    </row>
    <row r="8935" spans="1:6" hidden="1" x14ac:dyDescent="0.25">
      <c r="A8935" t="s">
        <v>690</v>
      </c>
      <c r="B8935" t="s">
        <v>106</v>
      </c>
      <c r="E8935" s="3">
        <f>HYPERLINK("https://sao.dolgi.msk.ru/account/1404187339/", 1404187339)</f>
        <v>1404187339</v>
      </c>
      <c r="F8935">
        <v>-4172.8</v>
      </c>
    </row>
    <row r="8936" spans="1:6" x14ac:dyDescent="0.25">
      <c r="A8936" t="s">
        <v>690</v>
      </c>
      <c r="B8936" t="s">
        <v>107</v>
      </c>
      <c r="C8936" s="5" t="str">
        <f>" кв. "&amp;B8936</f>
        <v xml:space="preserve"> кв. 103</v>
      </c>
      <c r="D8936" s="5" t="str">
        <f>CONCATENATE(A8936,C8936)</f>
        <v>Ленинградское шоссе, дом 132 кв. 103</v>
      </c>
      <c r="E8936" s="3">
        <f>HYPERLINK("https://sao.dolgi.msk.ru/account/1404187347/", 1404187347)</f>
        <v>1404187347</v>
      </c>
      <c r="F8936">
        <v>1701.69</v>
      </c>
    </row>
    <row r="8937" spans="1:6" hidden="1" x14ac:dyDescent="0.25">
      <c r="A8937" t="s">
        <v>690</v>
      </c>
      <c r="B8937" t="s">
        <v>108</v>
      </c>
      <c r="E8937" s="3">
        <f>HYPERLINK("https://sao.dolgi.msk.ru/account/1404187945/", 1404187945)</f>
        <v>1404187945</v>
      </c>
      <c r="F8937">
        <v>-4420.18</v>
      </c>
    </row>
    <row r="8938" spans="1:6" hidden="1" x14ac:dyDescent="0.25">
      <c r="A8938" t="s">
        <v>690</v>
      </c>
      <c r="B8938" t="s">
        <v>109</v>
      </c>
      <c r="E8938" s="3">
        <f>HYPERLINK("https://sao.dolgi.msk.ru/account/1404187953/", 1404187953)</f>
        <v>1404187953</v>
      </c>
      <c r="F8938">
        <v>-3475.8</v>
      </c>
    </row>
    <row r="8939" spans="1:6" hidden="1" x14ac:dyDescent="0.25">
      <c r="A8939" t="s">
        <v>690</v>
      </c>
      <c r="B8939" t="s">
        <v>110</v>
      </c>
      <c r="E8939" s="3">
        <f>HYPERLINK("https://sao.dolgi.msk.ru/account/1404188067/", 1404188067)</f>
        <v>1404188067</v>
      </c>
      <c r="F8939">
        <v>0</v>
      </c>
    </row>
    <row r="8940" spans="1:6" hidden="1" x14ac:dyDescent="0.25">
      <c r="A8940" t="s">
        <v>690</v>
      </c>
      <c r="B8940" t="s">
        <v>111</v>
      </c>
      <c r="E8940" s="3">
        <f>HYPERLINK("https://sao.dolgi.msk.ru/account/1404188593/", 1404188593)</f>
        <v>1404188593</v>
      </c>
      <c r="F8940">
        <v>-2094.19</v>
      </c>
    </row>
    <row r="8941" spans="1:6" hidden="1" x14ac:dyDescent="0.25">
      <c r="A8941" t="s">
        <v>690</v>
      </c>
      <c r="B8941" t="s">
        <v>112</v>
      </c>
      <c r="E8941" s="3">
        <f>HYPERLINK("https://sao.dolgi.msk.ru/account/1404188075/", 1404188075)</f>
        <v>1404188075</v>
      </c>
      <c r="F8941">
        <v>-1844.2</v>
      </c>
    </row>
    <row r="8942" spans="1:6" x14ac:dyDescent="0.25">
      <c r="A8942" t="s">
        <v>690</v>
      </c>
      <c r="B8942" t="s">
        <v>113</v>
      </c>
      <c r="C8942" s="5" t="str">
        <f>" кв. "&amp;B8942</f>
        <v xml:space="preserve"> кв. 109</v>
      </c>
      <c r="D8942" s="5" t="str">
        <f>CONCATENATE(A8942,C8942)</f>
        <v>Ленинградское шоссе, дом 132 кв. 109</v>
      </c>
      <c r="E8942" s="3">
        <f>HYPERLINK("https://sao.dolgi.msk.ru/account/1404188083/", 1404188083)</f>
        <v>1404188083</v>
      </c>
      <c r="F8942">
        <v>1186.1199999999999</v>
      </c>
    </row>
    <row r="8943" spans="1:6" hidden="1" x14ac:dyDescent="0.25">
      <c r="A8943" t="s">
        <v>690</v>
      </c>
      <c r="B8943" t="s">
        <v>114</v>
      </c>
      <c r="E8943" s="3">
        <f>HYPERLINK("https://sao.dolgi.msk.ru/account/1404187793/", 1404187793)</f>
        <v>1404187793</v>
      </c>
      <c r="F8943">
        <v>-1705.54</v>
      </c>
    </row>
    <row r="8944" spans="1:6" x14ac:dyDescent="0.25">
      <c r="A8944" t="s">
        <v>690</v>
      </c>
      <c r="B8944" t="s">
        <v>115</v>
      </c>
      <c r="C8944" s="5" t="str">
        <f>" кв. "&amp;B8944</f>
        <v xml:space="preserve"> кв. 111</v>
      </c>
      <c r="D8944" s="5" t="str">
        <f>CONCATENATE(A8944,C8944)</f>
        <v>Ленинградское шоссе, дом 132 кв. 111</v>
      </c>
      <c r="E8944" s="3">
        <f>HYPERLINK("https://sao.dolgi.msk.ru/account/1404187603/", 1404187603)</f>
        <v>1404187603</v>
      </c>
      <c r="F8944">
        <v>1704.86</v>
      </c>
    </row>
    <row r="8945" spans="1:6" hidden="1" x14ac:dyDescent="0.25">
      <c r="A8945" t="s">
        <v>690</v>
      </c>
      <c r="B8945" t="s">
        <v>116</v>
      </c>
      <c r="E8945" s="3">
        <f>HYPERLINK("https://sao.dolgi.msk.ru/account/1404188091/", 1404188091)</f>
        <v>1404188091</v>
      </c>
      <c r="F8945">
        <v>-2819.21</v>
      </c>
    </row>
    <row r="8946" spans="1:6" hidden="1" x14ac:dyDescent="0.25">
      <c r="A8946" t="s">
        <v>690</v>
      </c>
      <c r="B8946" t="s">
        <v>117</v>
      </c>
      <c r="E8946" s="3">
        <f>HYPERLINK("https://sao.dolgi.msk.ru/account/1404188737/", 1404188737)</f>
        <v>1404188737</v>
      </c>
      <c r="F8946">
        <v>-3461.93</v>
      </c>
    </row>
    <row r="8947" spans="1:6" hidden="1" x14ac:dyDescent="0.25">
      <c r="A8947" t="s">
        <v>690</v>
      </c>
      <c r="B8947" t="s">
        <v>118</v>
      </c>
      <c r="E8947" s="3">
        <f>HYPERLINK("https://sao.dolgi.msk.ru/account/1404187611/", 1404187611)</f>
        <v>1404187611</v>
      </c>
      <c r="F8947">
        <v>-1714.79</v>
      </c>
    </row>
    <row r="8948" spans="1:6" x14ac:dyDescent="0.25">
      <c r="A8948" t="s">
        <v>690</v>
      </c>
      <c r="B8948" t="s">
        <v>119</v>
      </c>
      <c r="C8948" s="5" t="str">
        <f>" кв. "&amp;B8948</f>
        <v xml:space="preserve"> кв. 115</v>
      </c>
      <c r="D8948" s="5" t="str">
        <f>CONCATENATE(A8948,C8948)</f>
        <v>Ленинградское шоссе, дом 132 кв. 115</v>
      </c>
      <c r="E8948" s="3">
        <f>HYPERLINK("https://sao.dolgi.msk.ru/account/1404187769/", 1404187769)</f>
        <v>1404187769</v>
      </c>
      <c r="F8948">
        <v>1698.53</v>
      </c>
    </row>
    <row r="8949" spans="1:6" hidden="1" x14ac:dyDescent="0.25">
      <c r="A8949" t="s">
        <v>690</v>
      </c>
      <c r="B8949" t="s">
        <v>120</v>
      </c>
      <c r="E8949" s="3">
        <f>HYPERLINK("https://sao.dolgi.msk.ru/account/1404188729/", 1404188729)</f>
        <v>1404188729</v>
      </c>
      <c r="F8949">
        <v>-1687.05</v>
      </c>
    </row>
    <row r="8950" spans="1:6" hidden="1" x14ac:dyDescent="0.25">
      <c r="A8950" t="s">
        <v>690</v>
      </c>
      <c r="B8950" t="s">
        <v>121</v>
      </c>
      <c r="E8950" s="3">
        <f>HYPERLINK("https://sao.dolgi.msk.ru/account/1404187777/", 1404187777)</f>
        <v>1404187777</v>
      </c>
      <c r="F8950">
        <v>-3471.17</v>
      </c>
    </row>
    <row r="8951" spans="1:6" hidden="1" x14ac:dyDescent="0.25">
      <c r="A8951" t="s">
        <v>690</v>
      </c>
      <c r="B8951" t="s">
        <v>122</v>
      </c>
      <c r="E8951" s="3">
        <f>HYPERLINK("https://sao.dolgi.msk.ru/account/1404188542/", 1404188542)</f>
        <v>1404188542</v>
      </c>
      <c r="F8951">
        <v>0</v>
      </c>
    </row>
    <row r="8952" spans="1:6" hidden="1" x14ac:dyDescent="0.25">
      <c r="A8952" t="s">
        <v>690</v>
      </c>
      <c r="B8952" t="s">
        <v>123</v>
      </c>
      <c r="E8952" s="3">
        <f>HYPERLINK("https://sao.dolgi.msk.ru/account/1404187523/", 1404187523)</f>
        <v>1404187523</v>
      </c>
      <c r="F8952">
        <v>-779.14</v>
      </c>
    </row>
    <row r="8953" spans="1:6" hidden="1" x14ac:dyDescent="0.25">
      <c r="A8953" t="s">
        <v>690</v>
      </c>
      <c r="B8953" t="s">
        <v>124</v>
      </c>
      <c r="E8953" s="3">
        <f>HYPERLINK("https://sao.dolgi.msk.ru/account/1404188569/", 1404188569)</f>
        <v>1404188569</v>
      </c>
      <c r="F8953">
        <v>-3383.36</v>
      </c>
    </row>
    <row r="8954" spans="1:6" x14ac:dyDescent="0.25">
      <c r="A8954" t="s">
        <v>690</v>
      </c>
      <c r="B8954" t="s">
        <v>125</v>
      </c>
      <c r="C8954" s="5" t="str">
        <f>" кв. "&amp;B8954</f>
        <v xml:space="preserve"> кв. 121</v>
      </c>
      <c r="D8954" s="5" t="str">
        <f>CONCATENATE(A8954,C8954)</f>
        <v>Ленинградское шоссе, дом 132 кв. 121</v>
      </c>
      <c r="E8954" s="3">
        <f>HYPERLINK("https://sao.dolgi.msk.ru/account/1404188278/", 1404188278)</f>
        <v>1404188278</v>
      </c>
      <c r="F8954">
        <v>2369.09</v>
      </c>
    </row>
    <row r="8955" spans="1:6" hidden="1" x14ac:dyDescent="0.25">
      <c r="A8955" t="s">
        <v>690</v>
      </c>
      <c r="B8955" t="s">
        <v>126</v>
      </c>
      <c r="E8955" s="3">
        <f>HYPERLINK("https://sao.dolgi.msk.ru/account/1404187574/", 1404187574)</f>
        <v>1404187574</v>
      </c>
      <c r="F8955">
        <v>-2477.4299999999998</v>
      </c>
    </row>
    <row r="8956" spans="1:6" x14ac:dyDescent="0.25">
      <c r="A8956" t="s">
        <v>690</v>
      </c>
      <c r="B8956" t="s">
        <v>127</v>
      </c>
      <c r="C8956" s="5" t="str">
        <f>" кв. "&amp;B8956</f>
        <v xml:space="preserve"> кв. 123</v>
      </c>
      <c r="D8956" s="5" t="str">
        <f>CONCATENATE(A8956,C8956)</f>
        <v>Ленинградское шоссе, дом 132 кв. 123</v>
      </c>
      <c r="E8956" s="3">
        <f>HYPERLINK("https://sao.dolgi.msk.ru/account/1404188024/", 1404188024)</f>
        <v>1404188024</v>
      </c>
      <c r="F8956">
        <v>1701.69</v>
      </c>
    </row>
    <row r="8957" spans="1:6" hidden="1" x14ac:dyDescent="0.25">
      <c r="A8957" t="s">
        <v>690</v>
      </c>
      <c r="B8957" t="s">
        <v>128</v>
      </c>
      <c r="E8957" s="3">
        <f>HYPERLINK("https://sao.dolgi.msk.ru/account/1404188032/", 1404188032)</f>
        <v>1404188032</v>
      </c>
      <c r="F8957">
        <v>-3383.36</v>
      </c>
    </row>
    <row r="8958" spans="1:6" hidden="1" x14ac:dyDescent="0.25">
      <c r="A8958" t="s">
        <v>690</v>
      </c>
      <c r="B8958" t="s">
        <v>129</v>
      </c>
      <c r="E8958" s="3">
        <f>HYPERLINK("https://sao.dolgi.msk.ru/account/1404188702/", 1404188702)</f>
        <v>1404188702</v>
      </c>
      <c r="F8958">
        <v>-2919.39</v>
      </c>
    </row>
    <row r="8959" spans="1:6" hidden="1" x14ac:dyDescent="0.25">
      <c r="A8959" t="s">
        <v>690</v>
      </c>
      <c r="B8959" t="s">
        <v>130</v>
      </c>
      <c r="E8959" s="3">
        <f>HYPERLINK("https://sao.dolgi.msk.ru/account/1404187304/", 1404187304)</f>
        <v>1404187304</v>
      </c>
      <c r="F8959">
        <v>0</v>
      </c>
    </row>
    <row r="8960" spans="1:6" hidden="1" x14ac:dyDescent="0.25">
      <c r="A8960" t="s">
        <v>690</v>
      </c>
      <c r="B8960" t="s">
        <v>131</v>
      </c>
      <c r="E8960" s="3">
        <f>HYPERLINK("https://sao.dolgi.msk.ru/account/1404187726/", 1404187726)</f>
        <v>1404187726</v>
      </c>
      <c r="F8960">
        <v>-2491.3000000000002</v>
      </c>
    </row>
    <row r="8961" spans="1:6" x14ac:dyDescent="0.25">
      <c r="A8961" t="s">
        <v>690</v>
      </c>
      <c r="B8961" t="s">
        <v>132</v>
      </c>
      <c r="C8961" s="5" t="str">
        <f>" кв. "&amp;B8961</f>
        <v xml:space="preserve"> кв. 128</v>
      </c>
      <c r="D8961" s="5" t="str">
        <f>CONCATENATE(A8961,C8961)</f>
        <v>Ленинградское шоссе, дом 132 кв. 128</v>
      </c>
      <c r="E8961" s="3">
        <f>HYPERLINK("https://sao.dolgi.msk.ru/account/1404187929/", 1404187929)</f>
        <v>1404187929</v>
      </c>
      <c r="F8961">
        <v>2075.25</v>
      </c>
    </row>
    <row r="8962" spans="1:6" hidden="1" x14ac:dyDescent="0.25">
      <c r="A8962" t="s">
        <v>691</v>
      </c>
      <c r="B8962" t="s">
        <v>5</v>
      </c>
      <c r="E8962" s="3">
        <f>HYPERLINK("https://sao.dolgi.msk.ru/account/1404189211/", 1404189211)</f>
        <v>1404189211</v>
      </c>
      <c r="F8962">
        <v>-2995.51</v>
      </c>
    </row>
    <row r="8963" spans="1:6" hidden="1" x14ac:dyDescent="0.25">
      <c r="A8963" t="s">
        <v>691</v>
      </c>
      <c r="B8963" t="s">
        <v>6</v>
      </c>
      <c r="E8963" s="3">
        <f>HYPERLINK("https://sao.dolgi.msk.ru/account/1404189369/", 1404189369)</f>
        <v>1404189369</v>
      </c>
      <c r="F8963">
        <v>-272.86</v>
      </c>
    </row>
    <row r="8964" spans="1:6" x14ac:dyDescent="0.25">
      <c r="A8964" t="s">
        <v>691</v>
      </c>
      <c r="B8964" t="s">
        <v>7</v>
      </c>
      <c r="C8964" s="5" t="str">
        <f t="shared" ref="C8964:C8966" si="394">" кв. "&amp;B8964</f>
        <v xml:space="preserve"> кв. 3</v>
      </c>
      <c r="D8964" s="5" t="str">
        <f>CONCATENATE(A8964,C8964)</f>
        <v>Ленинградское шоссе, дом 134 кв. 3</v>
      </c>
      <c r="E8964" s="3">
        <f>HYPERLINK("https://sao.dolgi.msk.ru/account/1404189043/", 1404189043)</f>
        <v>1404189043</v>
      </c>
      <c r="F8964">
        <v>469.05</v>
      </c>
    </row>
    <row r="8965" spans="1:6" x14ac:dyDescent="0.25">
      <c r="A8965" t="s">
        <v>691</v>
      </c>
      <c r="B8965" t="s">
        <v>7</v>
      </c>
      <c r="C8965" s="5" t="str">
        <f t="shared" si="394"/>
        <v xml:space="preserve"> кв. 3</v>
      </c>
      <c r="D8965" s="5" t="str">
        <f>CONCATENATE(A8965,C8965)</f>
        <v>Ленинградское шоссе, дом 134 кв. 3</v>
      </c>
      <c r="E8965" s="3">
        <f>HYPERLINK("https://sao.dolgi.msk.ru/account/1404190255/", 1404190255)</f>
        <v>1404190255</v>
      </c>
      <c r="F8965">
        <v>938.1</v>
      </c>
    </row>
    <row r="8966" spans="1:6" x14ac:dyDescent="0.25">
      <c r="A8966" t="s">
        <v>691</v>
      </c>
      <c r="B8966" t="s">
        <v>8</v>
      </c>
      <c r="C8966" s="5" t="str">
        <f t="shared" si="394"/>
        <v xml:space="preserve"> кв. 4</v>
      </c>
      <c r="D8966" s="5" t="str">
        <f>CONCATENATE(A8966,C8966)</f>
        <v>Ленинградское шоссе, дом 134 кв. 4</v>
      </c>
      <c r="E8966" s="3">
        <f>HYPERLINK("https://sao.dolgi.msk.ru/account/1404189115/", 1404189115)</f>
        <v>1404189115</v>
      </c>
      <c r="F8966">
        <v>1976.9</v>
      </c>
    </row>
    <row r="8967" spans="1:6" hidden="1" x14ac:dyDescent="0.25">
      <c r="A8967" t="s">
        <v>691</v>
      </c>
      <c r="B8967" t="s">
        <v>9</v>
      </c>
      <c r="E8967" s="3">
        <f>HYPERLINK("https://sao.dolgi.msk.ru/account/1404190132/", 1404190132)</f>
        <v>1404190132</v>
      </c>
      <c r="F8967">
        <v>-2204.41</v>
      </c>
    </row>
    <row r="8968" spans="1:6" hidden="1" x14ac:dyDescent="0.25">
      <c r="A8968" t="s">
        <v>691</v>
      </c>
      <c r="B8968" t="s">
        <v>10</v>
      </c>
      <c r="E8968" s="3">
        <f>HYPERLINK("https://sao.dolgi.msk.ru/account/1404190298/", 1404190298)</f>
        <v>1404190298</v>
      </c>
      <c r="F8968">
        <v>0</v>
      </c>
    </row>
    <row r="8969" spans="1:6" hidden="1" x14ac:dyDescent="0.25">
      <c r="A8969" t="s">
        <v>691</v>
      </c>
      <c r="B8969" t="s">
        <v>11</v>
      </c>
      <c r="E8969" s="3">
        <f>HYPERLINK("https://sao.dolgi.msk.ru/account/1404189975/", 1404189975)</f>
        <v>1404189975</v>
      </c>
      <c r="F8969">
        <v>-1700.92</v>
      </c>
    </row>
    <row r="8970" spans="1:6" hidden="1" x14ac:dyDescent="0.25">
      <c r="A8970" t="s">
        <v>691</v>
      </c>
      <c r="B8970" t="s">
        <v>12</v>
      </c>
      <c r="E8970" s="3">
        <f>HYPERLINK("https://sao.dolgi.msk.ru/account/1404189027/", 1404189027)</f>
        <v>1404189027</v>
      </c>
      <c r="F8970">
        <v>0</v>
      </c>
    </row>
    <row r="8971" spans="1:6" hidden="1" x14ac:dyDescent="0.25">
      <c r="A8971" t="s">
        <v>691</v>
      </c>
      <c r="B8971" t="s">
        <v>13</v>
      </c>
      <c r="E8971" s="3">
        <f>HYPERLINK("https://sao.dolgi.msk.ru/account/1404190108/", 1404190108)</f>
        <v>1404190108</v>
      </c>
      <c r="F8971">
        <v>-1722.91</v>
      </c>
    </row>
    <row r="8972" spans="1:6" hidden="1" x14ac:dyDescent="0.25">
      <c r="A8972" t="s">
        <v>691</v>
      </c>
      <c r="B8972" t="s">
        <v>14</v>
      </c>
      <c r="E8972" s="3">
        <f>HYPERLINK("https://sao.dolgi.msk.ru/account/1404189991/", 1404189991)</f>
        <v>1404189991</v>
      </c>
      <c r="F8972">
        <v>-2052.9499999999998</v>
      </c>
    </row>
    <row r="8973" spans="1:6" x14ac:dyDescent="0.25">
      <c r="A8973" t="s">
        <v>691</v>
      </c>
      <c r="B8973" t="s">
        <v>15</v>
      </c>
      <c r="C8973" s="5" t="str">
        <f t="shared" ref="C8973:C8974" si="395">" кв. "&amp;B8973</f>
        <v xml:space="preserve"> кв. 11</v>
      </c>
      <c r="D8973" s="5" t="str">
        <f>CONCATENATE(A8973,C8973)</f>
        <v>Ленинградское шоссе, дом 134 кв. 11</v>
      </c>
      <c r="E8973" s="3">
        <f>HYPERLINK("https://sao.dolgi.msk.ru/account/1404189764/", 1404189764)</f>
        <v>1404189764</v>
      </c>
      <c r="F8973">
        <v>1157.6500000000001</v>
      </c>
    </row>
    <row r="8974" spans="1:6" x14ac:dyDescent="0.25">
      <c r="A8974" t="s">
        <v>691</v>
      </c>
      <c r="B8974" t="s">
        <v>16</v>
      </c>
      <c r="C8974" s="5" t="str">
        <f t="shared" si="395"/>
        <v xml:space="preserve"> кв. 12</v>
      </c>
      <c r="D8974" s="5" t="str">
        <f>CONCATENATE(A8974,C8974)</f>
        <v>Ленинградское шоссе, дом 134 кв. 12</v>
      </c>
      <c r="E8974" s="3">
        <f>HYPERLINK("https://sao.dolgi.msk.ru/account/1404189801/", 1404189801)</f>
        <v>1404189801</v>
      </c>
      <c r="F8974">
        <v>2350.11</v>
      </c>
    </row>
    <row r="8975" spans="1:6" hidden="1" x14ac:dyDescent="0.25">
      <c r="A8975" t="s">
        <v>691</v>
      </c>
      <c r="B8975" t="s">
        <v>17</v>
      </c>
      <c r="E8975" s="3">
        <f>HYPERLINK("https://sao.dolgi.msk.ru/account/1404189238/", 1404189238)</f>
        <v>1404189238</v>
      </c>
      <c r="F8975">
        <v>-3364.86</v>
      </c>
    </row>
    <row r="8976" spans="1:6" hidden="1" x14ac:dyDescent="0.25">
      <c r="A8976" t="s">
        <v>691</v>
      </c>
      <c r="B8976" t="s">
        <v>18</v>
      </c>
      <c r="E8976" s="3">
        <f>HYPERLINK("https://sao.dolgi.msk.ru/account/1404190028/", 1404190028)</f>
        <v>1404190028</v>
      </c>
      <c r="F8976">
        <v>-1854.6</v>
      </c>
    </row>
    <row r="8977" spans="1:6" hidden="1" x14ac:dyDescent="0.25">
      <c r="A8977" t="s">
        <v>691</v>
      </c>
      <c r="B8977" t="s">
        <v>19</v>
      </c>
      <c r="E8977" s="3">
        <f>HYPERLINK("https://sao.dolgi.msk.ru/account/1404189676/", 1404189676)</f>
        <v>1404189676</v>
      </c>
      <c r="F8977">
        <v>-2449.69</v>
      </c>
    </row>
    <row r="8978" spans="1:6" hidden="1" x14ac:dyDescent="0.25">
      <c r="A8978" t="s">
        <v>691</v>
      </c>
      <c r="B8978" t="s">
        <v>20</v>
      </c>
      <c r="E8978" s="3">
        <f>HYPERLINK("https://sao.dolgi.msk.ru/account/1404188999/", 1404188999)</f>
        <v>1404188999</v>
      </c>
      <c r="F8978">
        <v>-3448.06</v>
      </c>
    </row>
    <row r="8979" spans="1:6" x14ac:dyDescent="0.25">
      <c r="A8979" t="s">
        <v>691</v>
      </c>
      <c r="B8979" t="s">
        <v>21</v>
      </c>
      <c r="C8979" s="5" t="str">
        <f>" кв. "&amp;B8979</f>
        <v xml:space="preserve"> кв. 17</v>
      </c>
      <c r="D8979" s="5" t="str">
        <f>CONCATENATE(A8979,C8979)</f>
        <v>Ленинградское шоссе, дом 134 кв. 17</v>
      </c>
      <c r="E8979" s="3">
        <f>HYPERLINK("https://sao.dolgi.msk.ru/account/1404189983/", 1404189983)</f>
        <v>1404189983</v>
      </c>
      <c r="F8979">
        <v>1920.08</v>
      </c>
    </row>
    <row r="8980" spans="1:6" hidden="1" x14ac:dyDescent="0.25">
      <c r="A8980" t="s">
        <v>691</v>
      </c>
      <c r="B8980" t="s">
        <v>22</v>
      </c>
      <c r="E8980" s="3">
        <f>HYPERLINK("https://sao.dolgi.msk.ru/account/1404189457/", 1404189457)</f>
        <v>1404189457</v>
      </c>
      <c r="F8980">
        <v>-2477.4299999999998</v>
      </c>
    </row>
    <row r="8981" spans="1:6" hidden="1" x14ac:dyDescent="0.25">
      <c r="A8981" t="s">
        <v>691</v>
      </c>
      <c r="B8981" t="s">
        <v>23</v>
      </c>
      <c r="E8981" s="3">
        <f>HYPERLINK("https://sao.dolgi.msk.ru/account/1404190175/", 1404190175)</f>
        <v>1404190175</v>
      </c>
      <c r="F8981">
        <v>-2468.1799999999998</v>
      </c>
    </row>
    <row r="8982" spans="1:6" hidden="1" x14ac:dyDescent="0.25">
      <c r="A8982" t="s">
        <v>691</v>
      </c>
      <c r="B8982" t="s">
        <v>24</v>
      </c>
      <c r="E8982" s="3">
        <f>HYPERLINK("https://sao.dolgi.msk.ru/account/1404189123/", 1404189123)</f>
        <v>1404189123</v>
      </c>
      <c r="F8982">
        <v>-2308.0300000000002</v>
      </c>
    </row>
    <row r="8983" spans="1:6" x14ac:dyDescent="0.25">
      <c r="A8983" t="s">
        <v>691</v>
      </c>
      <c r="B8983" t="s">
        <v>25</v>
      </c>
      <c r="C8983" s="5" t="str">
        <f>" кв. "&amp;B8983</f>
        <v xml:space="preserve"> кв. 21</v>
      </c>
      <c r="D8983" s="5" t="str">
        <f>CONCATENATE(A8983,C8983)</f>
        <v>Ленинградское шоссе, дом 134 кв. 21</v>
      </c>
      <c r="E8983" s="3">
        <f>HYPERLINK("https://sao.dolgi.msk.ru/account/1404189916/", 1404189916)</f>
        <v>1404189916</v>
      </c>
      <c r="F8983">
        <v>2299.5</v>
      </c>
    </row>
    <row r="8984" spans="1:6" hidden="1" x14ac:dyDescent="0.25">
      <c r="A8984" t="s">
        <v>691</v>
      </c>
      <c r="B8984" t="s">
        <v>26</v>
      </c>
      <c r="E8984" s="3">
        <f>HYPERLINK("https://sao.dolgi.msk.ru/account/1404189924/", 1404189924)</f>
        <v>1404189924</v>
      </c>
      <c r="F8984">
        <v>0</v>
      </c>
    </row>
    <row r="8985" spans="1:6" hidden="1" x14ac:dyDescent="0.25">
      <c r="A8985" t="s">
        <v>691</v>
      </c>
      <c r="B8985" t="s">
        <v>27</v>
      </c>
      <c r="E8985" s="3">
        <f>HYPERLINK("https://sao.dolgi.msk.ru/account/1404190183/", 1404190183)</f>
        <v>1404190183</v>
      </c>
      <c r="F8985">
        <v>-2269.14</v>
      </c>
    </row>
    <row r="8986" spans="1:6" hidden="1" x14ac:dyDescent="0.25">
      <c r="A8986" t="s">
        <v>691</v>
      </c>
      <c r="B8986" t="s">
        <v>28</v>
      </c>
      <c r="E8986" s="3">
        <f>HYPERLINK("https://sao.dolgi.msk.ru/account/1404189035/", 1404189035)</f>
        <v>1404189035</v>
      </c>
      <c r="F8986">
        <v>-959.08</v>
      </c>
    </row>
    <row r="8987" spans="1:6" hidden="1" x14ac:dyDescent="0.25">
      <c r="A8987" t="s">
        <v>691</v>
      </c>
      <c r="B8987" t="s">
        <v>28</v>
      </c>
      <c r="E8987" s="3">
        <f>HYPERLINK("https://sao.dolgi.msk.ru/account/1404189625/", 1404189625)</f>
        <v>1404189625</v>
      </c>
      <c r="F8987">
        <v>-1721.72</v>
      </c>
    </row>
    <row r="8988" spans="1:6" hidden="1" x14ac:dyDescent="0.25">
      <c r="A8988" t="s">
        <v>691</v>
      </c>
      <c r="B8988" t="s">
        <v>29</v>
      </c>
      <c r="E8988" s="3">
        <f>HYPERLINK("https://sao.dolgi.msk.ru/account/1404190423/", 1404190423)</f>
        <v>1404190423</v>
      </c>
      <c r="F8988">
        <v>-2165.63</v>
      </c>
    </row>
    <row r="8989" spans="1:6" hidden="1" x14ac:dyDescent="0.25">
      <c r="A8989" t="s">
        <v>691</v>
      </c>
      <c r="B8989" t="s">
        <v>30</v>
      </c>
      <c r="E8989" s="3">
        <f>HYPERLINK("https://sao.dolgi.msk.ru/account/1404189852/", 1404189852)</f>
        <v>1404189852</v>
      </c>
      <c r="F8989">
        <v>-2078.6</v>
      </c>
    </row>
    <row r="8990" spans="1:6" hidden="1" x14ac:dyDescent="0.25">
      <c r="A8990" t="s">
        <v>691</v>
      </c>
      <c r="B8990" t="s">
        <v>31</v>
      </c>
      <c r="E8990" s="3">
        <f>HYPERLINK("https://sao.dolgi.msk.ru/account/1404190431/", 1404190431)</f>
        <v>1404190431</v>
      </c>
      <c r="F8990">
        <v>-2482.0500000000002</v>
      </c>
    </row>
    <row r="8991" spans="1:6" hidden="1" x14ac:dyDescent="0.25">
      <c r="A8991" t="s">
        <v>691</v>
      </c>
      <c r="B8991" t="s">
        <v>32</v>
      </c>
      <c r="E8991" s="3">
        <f>HYPERLINK("https://sao.dolgi.msk.ru/account/1404190036/", 1404190036)</f>
        <v>1404190036</v>
      </c>
      <c r="F8991">
        <v>-3452.68</v>
      </c>
    </row>
    <row r="8992" spans="1:6" x14ac:dyDescent="0.25">
      <c r="A8992" t="s">
        <v>691</v>
      </c>
      <c r="B8992" t="s">
        <v>33</v>
      </c>
      <c r="C8992" s="5" t="str">
        <f>" кв. "&amp;B8992</f>
        <v xml:space="preserve"> кв. 29</v>
      </c>
      <c r="D8992" s="5" t="str">
        <f>CONCATENATE(A8992,C8992)</f>
        <v>Ленинградское шоссе, дом 134 кв. 29</v>
      </c>
      <c r="E8992" s="3">
        <f>HYPERLINK("https://sao.dolgi.msk.ru/account/1404189473/", 1404189473)</f>
        <v>1404189473</v>
      </c>
      <c r="F8992">
        <v>2296.34</v>
      </c>
    </row>
    <row r="8993" spans="1:6" hidden="1" x14ac:dyDescent="0.25">
      <c r="A8993" t="s">
        <v>691</v>
      </c>
      <c r="B8993" t="s">
        <v>34</v>
      </c>
      <c r="E8993" s="3">
        <f>HYPERLINK("https://sao.dolgi.msk.ru/account/1404189254/", 1404189254)</f>
        <v>1404189254</v>
      </c>
      <c r="F8993">
        <v>-2472.81</v>
      </c>
    </row>
    <row r="8994" spans="1:6" x14ac:dyDescent="0.25">
      <c r="A8994" t="s">
        <v>691</v>
      </c>
      <c r="B8994" t="s">
        <v>35</v>
      </c>
      <c r="C8994" s="5" t="str">
        <f t="shared" ref="C8994:C8995" si="396">" кв. "&amp;B8994</f>
        <v xml:space="preserve"> кв. 31</v>
      </c>
      <c r="D8994" s="5" t="str">
        <f>CONCATENATE(A8994,C8994)</f>
        <v>Ленинградское шоссе, дом 134 кв. 31</v>
      </c>
      <c r="E8994" s="3">
        <f>HYPERLINK("https://sao.dolgi.msk.ru/account/1404189051/", 1404189051)</f>
        <v>1404189051</v>
      </c>
      <c r="F8994">
        <v>1695.37</v>
      </c>
    </row>
    <row r="8995" spans="1:6" x14ac:dyDescent="0.25">
      <c r="A8995" t="s">
        <v>691</v>
      </c>
      <c r="B8995" t="s">
        <v>36</v>
      </c>
      <c r="C8995" s="5" t="str">
        <f t="shared" si="396"/>
        <v xml:space="preserve"> кв. 32</v>
      </c>
      <c r="D8995" s="5" t="str">
        <f>CONCATENATE(A8995,C8995)</f>
        <v>Ленинградское шоссе, дом 134 кв. 32</v>
      </c>
      <c r="E8995" s="3">
        <f>HYPERLINK("https://sao.dolgi.msk.ru/account/1404189262/", 1404189262)</f>
        <v>1404189262</v>
      </c>
      <c r="F8995">
        <v>2350.11</v>
      </c>
    </row>
    <row r="8996" spans="1:6" hidden="1" x14ac:dyDescent="0.25">
      <c r="A8996" t="s">
        <v>691</v>
      </c>
      <c r="B8996" t="s">
        <v>37</v>
      </c>
      <c r="E8996" s="3">
        <f>HYPERLINK("https://sao.dolgi.msk.ru/account/1404190458/", 1404190458)</f>
        <v>1404190458</v>
      </c>
      <c r="F8996">
        <v>-3369.49</v>
      </c>
    </row>
    <row r="8997" spans="1:6" hidden="1" x14ac:dyDescent="0.25">
      <c r="A8997" t="s">
        <v>691</v>
      </c>
      <c r="B8997" t="s">
        <v>38</v>
      </c>
      <c r="E8997" s="3">
        <f>HYPERLINK("https://sao.dolgi.msk.ru/account/1404189705/", 1404189705)</f>
        <v>1404189705</v>
      </c>
      <c r="F8997">
        <v>-2074.7199999999998</v>
      </c>
    </row>
    <row r="8998" spans="1:6" hidden="1" x14ac:dyDescent="0.25">
      <c r="A8998" t="s">
        <v>691</v>
      </c>
      <c r="B8998" t="s">
        <v>39</v>
      </c>
      <c r="E8998" s="3">
        <f>HYPERLINK("https://sao.dolgi.msk.ru/account/1404190079/", 1404190079)</f>
        <v>1404190079</v>
      </c>
      <c r="F8998">
        <v>-2454.31</v>
      </c>
    </row>
    <row r="8999" spans="1:6" hidden="1" x14ac:dyDescent="0.25">
      <c r="A8999" t="s">
        <v>691</v>
      </c>
      <c r="B8999" t="s">
        <v>40</v>
      </c>
      <c r="E8999" s="3">
        <f>HYPERLINK("https://sao.dolgi.msk.ru/account/1404190044/", 1404190044)</f>
        <v>1404190044</v>
      </c>
      <c r="F8999">
        <v>-3448.06</v>
      </c>
    </row>
    <row r="9000" spans="1:6" hidden="1" x14ac:dyDescent="0.25">
      <c r="A9000" t="s">
        <v>691</v>
      </c>
      <c r="B9000" t="s">
        <v>41</v>
      </c>
      <c r="E9000" s="3">
        <f>HYPERLINK("https://sao.dolgi.msk.ru/account/1404190052/", 1404190052)</f>
        <v>1404190052</v>
      </c>
      <c r="F9000">
        <v>-2628.21</v>
      </c>
    </row>
    <row r="9001" spans="1:6" hidden="1" x14ac:dyDescent="0.25">
      <c r="A9001" t="s">
        <v>691</v>
      </c>
      <c r="B9001" t="s">
        <v>42</v>
      </c>
      <c r="E9001" s="3">
        <f>HYPERLINK("https://sao.dolgi.msk.ru/account/1404189078/", 1404189078)</f>
        <v>1404189078</v>
      </c>
      <c r="F9001">
        <v>-2082.5100000000002</v>
      </c>
    </row>
    <row r="9002" spans="1:6" hidden="1" x14ac:dyDescent="0.25">
      <c r="A9002" t="s">
        <v>691</v>
      </c>
      <c r="B9002" t="s">
        <v>43</v>
      </c>
      <c r="E9002" s="3">
        <f>HYPERLINK("https://sao.dolgi.msk.ru/account/1404189545/", 1404189545)</f>
        <v>1404189545</v>
      </c>
      <c r="F9002">
        <v>0</v>
      </c>
    </row>
    <row r="9003" spans="1:6" hidden="1" x14ac:dyDescent="0.25">
      <c r="A9003" t="s">
        <v>691</v>
      </c>
      <c r="B9003" t="s">
        <v>44</v>
      </c>
      <c r="E9003" s="3">
        <f>HYPERLINK("https://sao.dolgi.msk.ru/account/1404188913/", 1404188913)</f>
        <v>1404188913</v>
      </c>
      <c r="F9003">
        <v>0</v>
      </c>
    </row>
    <row r="9004" spans="1:6" hidden="1" x14ac:dyDescent="0.25">
      <c r="A9004" t="s">
        <v>691</v>
      </c>
      <c r="B9004" t="s">
        <v>45</v>
      </c>
      <c r="E9004" s="3">
        <f>HYPERLINK("https://sao.dolgi.msk.ru/account/1404189553/", 1404189553)</f>
        <v>1404189553</v>
      </c>
      <c r="F9004">
        <v>0</v>
      </c>
    </row>
    <row r="9005" spans="1:6" hidden="1" x14ac:dyDescent="0.25">
      <c r="A9005" t="s">
        <v>691</v>
      </c>
      <c r="B9005" t="s">
        <v>46</v>
      </c>
      <c r="E9005" s="3">
        <f>HYPERLINK("https://sao.dolgi.msk.ru/account/1404189895/", 1404189895)</f>
        <v>1404189895</v>
      </c>
      <c r="F9005">
        <v>0</v>
      </c>
    </row>
    <row r="9006" spans="1:6" hidden="1" x14ac:dyDescent="0.25">
      <c r="A9006" t="s">
        <v>691</v>
      </c>
      <c r="B9006" t="s">
        <v>47</v>
      </c>
      <c r="E9006" s="3">
        <f>HYPERLINK("https://sao.dolgi.msk.ru/account/1404189561/", 1404189561)</f>
        <v>1404189561</v>
      </c>
      <c r="F9006">
        <v>-2458.94</v>
      </c>
    </row>
    <row r="9007" spans="1:6" hidden="1" x14ac:dyDescent="0.25">
      <c r="A9007" t="s">
        <v>691</v>
      </c>
      <c r="B9007" t="s">
        <v>48</v>
      </c>
      <c r="E9007" s="3">
        <f>HYPERLINK("https://sao.dolgi.msk.ru/account/1404190327/", 1404190327)</f>
        <v>1404190327</v>
      </c>
      <c r="F9007">
        <v>-3448.06</v>
      </c>
    </row>
    <row r="9008" spans="1:6" hidden="1" x14ac:dyDescent="0.25">
      <c r="A9008" t="s">
        <v>691</v>
      </c>
      <c r="B9008" t="s">
        <v>49</v>
      </c>
      <c r="E9008" s="3">
        <f>HYPERLINK("https://sao.dolgi.msk.ru/account/1404190167/", 1404190167)</f>
        <v>1404190167</v>
      </c>
      <c r="F9008">
        <v>-2189.0100000000002</v>
      </c>
    </row>
    <row r="9009" spans="1:6" x14ac:dyDescent="0.25">
      <c r="A9009" t="s">
        <v>691</v>
      </c>
      <c r="B9009" t="s">
        <v>50</v>
      </c>
      <c r="C9009" s="5" t="str">
        <f>" кв. "&amp;B9009</f>
        <v xml:space="preserve"> кв. 46</v>
      </c>
      <c r="D9009" s="5" t="str">
        <f>CONCATENATE(A9009,C9009)</f>
        <v>Ленинградское шоссе, дом 134 кв. 46</v>
      </c>
      <c r="E9009" s="3">
        <f>HYPERLINK("https://sao.dolgi.msk.ru/account/1404189908/", 1404189908)</f>
        <v>1404189908</v>
      </c>
      <c r="F9009">
        <v>1685.88</v>
      </c>
    </row>
    <row r="9010" spans="1:6" hidden="1" x14ac:dyDescent="0.25">
      <c r="A9010" t="s">
        <v>691</v>
      </c>
      <c r="B9010" t="s">
        <v>51</v>
      </c>
      <c r="E9010" s="3">
        <f>HYPERLINK("https://sao.dolgi.msk.ru/account/1404189318/", 1404189318)</f>
        <v>1404189318</v>
      </c>
      <c r="F9010">
        <v>-1705.54</v>
      </c>
    </row>
    <row r="9011" spans="1:6" hidden="1" x14ac:dyDescent="0.25">
      <c r="A9011" t="s">
        <v>691</v>
      </c>
      <c r="B9011" t="s">
        <v>52</v>
      </c>
      <c r="E9011" s="3">
        <f>HYPERLINK("https://sao.dolgi.msk.ru/account/1404190271/", 1404190271)</f>
        <v>1404190271</v>
      </c>
      <c r="F9011">
        <v>-2235.71</v>
      </c>
    </row>
    <row r="9012" spans="1:6" x14ac:dyDescent="0.25">
      <c r="A9012" t="s">
        <v>691</v>
      </c>
      <c r="B9012" t="s">
        <v>53</v>
      </c>
      <c r="C9012" s="5" t="str">
        <f>" кв. "&amp;B9012</f>
        <v xml:space="preserve"> кв. 49</v>
      </c>
      <c r="D9012" s="5" t="str">
        <f>CONCATENATE(A9012,C9012)</f>
        <v>Ленинградское шоссе, дом 134 кв. 49</v>
      </c>
      <c r="E9012" s="3">
        <f>HYPERLINK("https://sao.dolgi.msk.ru/account/1404188833/", 1404188833)</f>
        <v>1404188833</v>
      </c>
      <c r="F9012">
        <v>1809.23</v>
      </c>
    </row>
    <row r="9013" spans="1:6" hidden="1" x14ac:dyDescent="0.25">
      <c r="A9013" t="s">
        <v>691</v>
      </c>
      <c r="B9013" t="s">
        <v>54</v>
      </c>
      <c r="E9013" s="3">
        <f>HYPERLINK("https://sao.dolgi.msk.ru/account/1404188841/", 1404188841)</f>
        <v>1404188841</v>
      </c>
      <c r="F9013">
        <v>-1567.84</v>
      </c>
    </row>
    <row r="9014" spans="1:6" x14ac:dyDescent="0.25">
      <c r="A9014" t="s">
        <v>691</v>
      </c>
      <c r="B9014" t="s">
        <v>55</v>
      </c>
      <c r="C9014" s="5" t="str">
        <f>" кв. "&amp;B9014</f>
        <v xml:space="preserve"> кв. 51</v>
      </c>
      <c r="D9014" s="5" t="str">
        <f>CONCATENATE(A9014,C9014)</f>
        <v>Ленинградское шоссе, дом 134 кв. 51</v>
      </c>
      <c r="E9014" s="3">
        <f>HYPERLINK("https://sao.dolgi.msk.ru/account/1404188868/", 1404188868)</f>
        <v>1404188868</v>
      </c>
      <c r="F9014">
        <v>1698.53</v>
      </c>
    </row>
    <row r="9015" spans="1:6" hidden="1" x14ac:dyDescent="0.25">
      <c r="A9015" t="s">
        <v>691</v>
      </c>
      <c r="B9015" t="s">
        <v>56</v>
      </c>
      <c r="E9015" s="3">
        <f>HYPERLINK("https://sao.dolgi.msk.ru/account/1404190159/", 1404190159)</f>
        <v>1404190159</v>
      </c>
      <c r="F9015">
        <v>-3057.51</v>
      </c>
    </row>
    <row r="9016" spans="1:6" hidden="1" x14ac:dyDescent="0.25">
      <c r="A9016" t="s">
        <v>691</v>
      </c>
      <c r="B9016" t="s">
        <v>57</v>
      </c>
      <c r="E9016" s="3">
        <f>HYPERLINK("https://sao.dolgi.msk.ru/account/1404189326/", 1404189326)</f>
        <v>1404189326</v>
      </c>
      <c r="F9016">
        <v>-3401.85</v>
      </c>
    </row>
    <row r="9017" spans="1:6" hidden="1" x14ac:dyDescent="0.25">
      <c r="A9017" t="s">
        <v>691</v>
      </c>
      <c r="B9017" t="s">
        <v>58</v>
      </c>
      <c r="E9017" s="3">
        <f>HYPERLINK("https://sao.dolgi.msk.ru/account/1404189748/", 1404189748)</f>
        <v>1404189748</v>
      </c>
      <c r="F9017">
        <v>-1620.62</v>
      </c>
    </row>
    <row r="9018" spans="1:6" x14ac:dyDescent="0.25">
      <c r="A9018" t="s">
        <v>691</v>
      </c>
      <c r="B9018" t="s">
        <v>59</v>
      </c>
      <c r="C9018" s="5" t="str">
        <f>" кв. "&amp;B9018</f>
        <v xml:space="preserve"> кв. 55</v>
      </c>
      <c r="D9018" s="5" t="str">
        <f>CONCATENATE(A9018,C9018)</f>
        <v>Ленинградское шоссе, дом 134 кв. 55</v>
      </c>
      <c r="E9018" s="3">
        <f>HYPERLINK("https://sao.dolgi.msk.ru/account/1404189107/", 1404189107)</f>
        <v>1404189107</v>
      </c>
      <c r="F9018">
        <v>1682.72</v>
      </c>
    </row>
    <row r="9019" spans="1:6" hidden="1" x14ac:dyDescent="0.25">
      <c r="A9019" t="s">
        <v>691</v>
      </c>
      <c r="B9019" t="s">
        <v>60</v>
      </c>
      <c r="E9019" s="3">
        <f>HYPERLINK("https://sao.dolgi.msk.ru/account/1404189529/", 1404189529)</f>
        <v>1404189529</v>
      </c>
      <c r="F9019">
        <v>0</v>
      </c>
    </row>
    <row r="9020" spans="1:6" hidden="1" x14ac:dyDescent="0.25">
      <c r="A9020" t="s">
        <v>691</v>
      </c>
      <c r="B9020" t="s">
        <v>61</v>
      </c>
      <c r="E9020" s="3">
        <f>HYPERLINK("https://sao.dolgi.msk.ru/account/1404188876/", 1404188876)</f>
        <v>1404188876</v>
      </c>
      <c r="F9020">
        <v>-3397.23</v>
      </c>
    </row>
    <row r="9021" spans="1:6" hidden="1" x14ac:dyDescent="0.25">
      <c r="A9021" t="s">
        <v>691</v>
      </c>
      <c r="B9021" t="s">
        <v>62</v>
      </c>
      <c r="E9021" s="3">
        <f>HYPERLINK("https://sao.dolgi.msk.ru/account/1404188884/", 1404188884)</f>
        <v>1404188884</v>
      </c>
      <c r="F9021">
        <v>-2468.1799999999998</v>
      </c>
    </row>
    <row r="9022" spans="1:6" hidden="1" x14ac:dyDescent="0.25">
      <c r="A9022" t="s">
        <v>691</v>
      </c>
      <c r="B9022" t="s">
        <v>63</v>
      </c>
      <c r="E9022" s="3">
        <f>HYPERLINK("https://sao.dolgi.msk.ru/account/1404188892/", 1404188892)</f>
        <v>1404188892</v>
      </c>
      <c r="F9022">
        <v>-2472.81</v>
      </c>
    </row>
    <row r="9023" spans="1:6" hidden="1" x14ac:dyDescent="0.25">
      <c r="A9023" t="s">
        <v>691</v>
      </c>
      <c r="B9023" t="s">
        <v>64</v>
      </c>
      <c r="E9023" s="3">
        <f>HYPERLINK("https://sao.dolgi.msk.ru/account/1404189334/", 1404189334)</f>
        <v>1404189334</v>
      </c>
      <c r="F9023">
        <v>-3503.53</v>
      </c>
    </row>
    <row r="9024" spans="1:6" x14ac:dyDescent="0.25">
      <c r="A9024" t="s">
        <v>691</v>
      </c>
      <c r="B9024" t="s">
        <v>65</v>
      </c>
      <c r="C9024" s="5" t="str">
        <f>" кв. "&amp;B9024</f>
        <v xml:space="preserve"> кв. 61</v>
      </c>
      <c r="D9024" s="5" t="str">
        <f>CONCATENATE(A9024,C9024)</f>
        <v>Ленинградское шоссе, дом 134 кв. 61</v>
      </c>
      <c r="E9024" s="3">
        <f>HYPERLINK("https://sao.dolgi.msk.ru/account/1404189537/", 1404189537)</f>
        <v>1404189537</v>
      </c>
      <c r="F9024">
        <v>1162.4100000000001</v>
      </c>
    </row>
    <row r="9025" spans="1:6" hidden="1" x14ac:dyDescent="0.25">
      <c r="A9025" t="s">
        <v>691</v>
      </c>
      <c r="B9025" t="s">
        <v>66</v>
      </c>
      <c r="E9025" s="3">
        <f>HYPERLINK("https://sao.dolgi.msk.ru/account/1404189342/", 1404189342)</f>
        <v>1404189342</v>
      </c>
      <c r="F9025">
        <v>-1863.99</v>
      </c>
    </row>
    <row r="9026" spans="1:6" hidden="1" x14ac:dyDescent="0.25">
      <c r="A9026" t="s">
        <v>691</v>
      </c>
      <c r="B9026" t="s">
        <v>67</v>
      </c>
      <c r="E9026" s="3">
        <f>HYPERLINK("https://sao.dolgi.msk.ru/account/1404189879/", 1404189879)</f>
        <v>1404189879</v>
      </c>
      <c r="F9026">
        <v>-2472.81</v>
      </c>
    </row>
    <row r="9027" spans="1:6" hidden="1" x14ac:dyDescent="0.25">
      <c r="A9027" t="s">
        <v>691</v>
      </c>
      <c r="B9027" t="s">
        <v>68</v>
      </c>
      <c r="E9027" s="3">
        <f>HYPERLINK("https://sao.dolgi.msk.ru/account/1404189756/", 1404189756)</f>
        <v>1404189756</v>
      </c>
      <c r="F9027">
        <v>-2896.44</v>
      </c>
    </row>
    <row r="9028" spans="1:6" x14ac:dyDescent="0.25">
      <c r="A9028" t="s">
        <v>691</v>
      </c>
      <c r="B9028" t="s">
        <v>69</v>
      </c>
      <c r="C9028" s="5" t="str">
        <f>" кв. "&amp;B9028</f>
        <v xml:space="preserve"> кв. 65</v>
      </c>
      <c r="D9028" s="5" t="str">
        <f>CONCATENATE(A9028,C9028)</f>
        <v>Ленинградское шоссе, дом 134 кв. 65</v>
      </c>
      <c r="E9028" s="3">
        <f>HYPERLINK("https://sao.dolgi.msk.ru/account/1404189887/", 1404189887)</f>
        <v>1404189887</v>
      </c>
      <c r="F9028">
        <v>1550.25</v>
      </c>
    </row>
    <row r="9029" spans="1:6" hidden="1" x14ac:dyDescent="0.25">
      <c r="A9029" t="s">
        <v>691</v>
      </c>
      <c r="B9029" t="s">
        <v>70</v>
      </c>
      <c r="E9029" s="3">
        <f>HYPERLINK("https://sao.dolgi.msk.ru/account/1404190319/", 1404190319)</f>
        <v>1404190319</v>
      </c>
      <c r="F9029">
        <v>0</v>
      </c>
    </row>
    <row r="9030" spans="1:6" hidden="1" x14ac:dyDescent="0.25">
      <c r="A9030" t="s">
        <v>691</v>
      </c>
      <c r="B9030" t="s">
        <v>71</v>
      </c>
      <c r="E9030" s="3">
        <f>HYPERLINK("https://sao.dolgi.msk.ru/account/1404188905/", 1404188905)</f>
        <v>1404188905</v>
      </c>
      <c r="F9030">
        <v>-2194.2399999999998</v>
      </c>
    </row>
    <row r="9031" spans="1:6" hidden="1" x14ac:dyDescent="0.25">
      <c r="A9031" t="s">
        <v>691</v>
      </c>
      <c r="B9031" t="s">
        <v>72</v>
      </c>
      <c r="E9031" s="3">
        <f>HYPERLINK("https://sao.dolgi.msk.ru/account/1404190394/", 1404190394)</f>
        <v>1404190394</v>
      </c>
      <c r="F9031">
        <v>-2999.62</v>
      </c>
    </row>
    <row r="9032" spans="1:6" hidden="1" x14ac:dyDescent="0.25">
      <c r="A9032" t="s">
        <v>691</v>
      </c>
      <c r="B9032" t="s">
        <v>73</v>
      </c>
      <c r="E9032" s="3">
        <f>HYPERLINK("https://sao.dolgi.msk.ru/account/1404190407/", 1404190407)</f>
        <v>1404190407</v>
      </c>
      <c r="F9032">
        <v>-3452.68</v>
      </c>
    </row>
    <row r="9033" spans="1:6" hidden="1" x14ac:dyDescent="0.25">
      <c r="A9033" t="s">
        <v>691</v>
      </c>
      <c r="B9033" t="s">
        <v>74</v>
      </c>
      <c r="E9033" s="3">
        <f>HYPERLINK("https://sao.dolgi.msk.ru/account/1404189166/", 1404189166)</f>
        <v>1404189166</v>
      </c>
      <c r="F9033">
        <v>-1229.46</v>
      </c>
    </row>
    <row r="9034" spans="1:6" hidden="1" x14ac:dyDescent="0.25">
      <c r="A9034" t="s">
        <v>691</v>
      </c>
      <c r="B9034" t="s">
        <v>75</v>
      </c>
      <c r="E9034" s="3">
        <f>HYPERLINK("https://sao.dolgi.msk.ru/account/1404189174/", 1404189174)</f>
        <v>1404189174</v>
      </c>
      <c r="F9034">
        <v>-1460.16</v>
      </c>
    </row>
    <row r="9035" spans="1:6" hidden="1" x14ac:dyDescent="0.25">
      <c r="A9035" t="s">
        <v>691</v>
      </c>
      <c r="B9035" t="s">
        <v>76</v>
      </c>
      <c r="E9035" s="3">
        <f>HYPERLINK("https://sao.dolgi.msk.ru/account/1404188956/", 1404188956)</f>
        <v>1404188956</v>
      </c>
      <c r="F9035">
        <v>0</v>
      </c>
    </row>
    <row r="9036" spans="1:6" hidden="1" x14ac:dyDescent="0.25">
      <c r="A9036" t="s">
        <v>691</v>
      </c>
      <c r="B9036" t="s">
        <v>77</v>
      </c>
      <c r="E9036" s="3">
        <f>HYPERLINK("https://sao.dolgi.msk.ru/account/1404189422/", 1404189422)</f>
        <v>1404189422</v>
      </c>
      <c r="F9036">
        <v>-2915.51</v>
      </c>
    </row>
    <row r="9037" spans="1:6" x14ac:dyDescent="0.25">
      <c r="A9037" t="s">
        <v>691</v>
      </c>
      <c r="B9037" t="s">
        <v>78</v>
      </c>
      <c r="C9037" s="5" t="str">
        <f>" кв. "&amp;B9037</f>
        <v xml:space="preserve"> кв. 74</v>
      </c>
      <c r="D9037" s="5" t="str">
        <f>CONCATENATE(A9037,C9037)</f>
        <v>Ленинградское шоссе, дом 134 кв. 74</v>
      </c>
      <c r="E9037" s="3">
        <f>HYPERLINK("https://sao.dolgi.msk.ru/account/1404188964/", 1404188964)</f>
        <v>1404188964</v>
      </c>
      <c r="F9037">
        <v>1679.55</v>
      </c>
    </row>
    <row r="9038" spans="1:6" hidden="1" x14ac:dyDescent="0.25">
      <c r="A9038" t="s">
        <v>691</v>
      </c>
      <c r="B9038" t="s">
        <v>79</v>
      </c>
      <c r="E9038" s="3">
        <f>HYPERLINK("https://sao.dolgi.msk.ru/account/1404189633/", 1404189633)</f>
        <v>1404189633</v>
      </c>
      <c r="F9038">
        <v>-782.06</v>
      </c>
    </row>
    <row r="9039" spans="1:6" hidden="1" x14ac:dyDescent="0.25">
      <c r="A9039" t="s">
        <v>691</v>
      </c>
      <c r="B9039" t="s">
        <v>80</v>
      </c>
      <c r="E9039" s="3">
        <f>HYPERLINK("https://sao.dolgi.msk.ru/account/1404189182/", 1404189182)</f>
        <v>1404189182</v>
      </c>
      <c r="F9039">
        <v>-2161.75</v>
      </c>
    </row>
    <row r="9040" spans="1:6" hidden="1" x14ac:dyDescent="0.25">
      <c r="A9040" t="s">
        <v>691</v>
      </c>
      <c r="B9040" t="s">
        <v>81</v>
      </c>
      <c r="E9040" s="3">
        <f>HYPERLINK("https://sao.dolgi.msk.ru/account/1404190415/", 1404190415)</f>
        <v>1404190415</v>
      </c>
      <c r="F9040">
        <v>-2699.29</v>
      </c>
    </row>
    <row r="9041" spans="1:6" hidden="1" x14ac:dyDescent="0.25">
      <c r="A9041" t="s">
        <v>691</v>
      </c>
      <c r="B9041" t="s">
        <v>82</v>
      </c>
      <c r="E9041" s="3">
        <f>HYPERLINK("https://sao.dolgi.msk.ru/account/1404190212/", 1404190212)</f>
        <v>1404190212</v>
      </c>
      <c r="F9041">
        <v>-2458.94</v>
      </c>
    </row>
    <row r="9042" spans="1:6" hidden="1" x14ac:dyDescent="0.25">
      <c r="A9042" t="s">
        <v>691</v>
      </c>
      <c r="B9042" t="s">
        <v>83</v>
      </c>
      <c r="E9042" s="3">
        <f>HYPERLINK("https://sao.dolgi.msk.ru/account/1404189828/", 1404189828)</f>
        <v>1404189828</v>
      </c>
      <c r="F9042">
        <v>-1560.61</v>
      </c>
    </row>
    <row r="9043" spans="1:6" hidden="1" x14ac:dyDescent="0.25">
      <c r="A9043" t="s">
        <v>691</v>
      </c>
      <c r="B9043" t="s">
        <v>84</v>
      </c>
      <c r="E9043" s="3">
        <f>HYPERLINK("https://sao.dolgi.msk.ru/account/1404189203/", 1404189203)</f>
        <v>1404189203</v>
      </c>
      <c r="F9043">
        <v>-2803.97</v>
      </c>
    </row>
    <row r="9044" spans="1:6" hidden="1" x14ac:dyDescent="0.25">
      <c r="A9044" t="s">
        <v>691</v>
      </c>
      <c r="B9044" t="s">
        <v>85</v>
      </c>
      <c r="E9044" s="3">
        <f>HYPERLINK("https://sao.dolgi.msk.ru/account/1404189713/", 1404189713)</f>
        <v>1404189713</v>
      </c>
      <c r="F9044">
        <v>0</v>
      </c>
    </row>
    <row r="9045" spans="1:6" hidden="1" x14ac:dyDescent="0.25">
      <c r="A9045" t="s">
        <v>691</v>
      </c>
      <c r="B9045" t="s">
        <v>85</v>
      </c>
      <c r="E9045" s="3">
        <f>HYPERLINK("https://sao.dolgi.msk.ru/account/1404190239/", 1404190239)</f>
        <v>1404190239</v>
      </c>
      <c r="F9045">
        <v>-2877.23</v>
      </c>
    </row>
    <row r="9046" spans="1:6" hidden="1" x14ac:dyDescent="0.25">
      <c r="A9046" t="s">
        <v>691</v>
      </c>
      <c r="B9046" t="s">
        <v>86</v>
      </c>
      <c r="E9046" s="3">
        <f>HYPERLINK("https://sao.dolgi.msk.ru/account/1404190247/", 1404190247)</f>
        <v>1404190247</v>
      </c>
      <c r="F9046">
        <v>0</v>
      </c>
    </row>
    <row r="9047" spans="1:6" x14ac:dyDescent="0.25">
      <c r="A9047" t="s">
        <v>691</v>
      </c>
      <c r="B9047" t="s">
        <v>87</v>
      </c>
      <c r="C9047" s="5" t="str">
        <f>" кв. "&amp;B9047</f>
        <v xml:space="preserve"> кв. 83</v>
      </c>
      <c r="D9047" s="5" t="str">
        <f>CONCATENATE(A9047,C9047)</f>
        <v>Ленинградское шоссе, дом 134 кв. 83</v>
      </c>
      <c r="E9047" s="3">
        <f>HYPERLINK("https://sao.dolgi.msk.ru/account/1404189641/", 1404189641)</f>
        <v>1404189641</v>
      </c>
      <c r="F9047">
        <v>1692.21</v>
      </c>
    </row>
    <row r="9048" spans="1:6" hidden="1" x14ac:dyDescent="0.25">
      <c r="A9048" t="s">
        <v>691</v>
      </c>
      <c r="B9048" t="s">
        <v>88</v>
      </c>
      <c r="E9048" s="3">
        <f>HYPERLINK("https://sao.dolgi.msk.ru/account/1404189836/", 1404189836)</f>
        <v>1404189836</v>
      </c>
      <c r="F9048">
        <v>-3364.86</v>
      </c>
    </row>
    <row r="9049" spans="1:6" x14ac:dyDescent="0.25">
      <c r="A9049" t="s">
        <v>691</v>
      </c>
      <c r="B9049" t="s">
        <v>89</v>
      </c>
      <c r="C9049" s="5" t="str">
        <f>" кв. "&amp;B9049</f>
        <v xml:space="preserve"> кв. 85</v>
      </c>
      <c r="D9049" s="5" t="str">
        <f>CONCATENATE(A9049,C9049)</f>
        <v>Ленинградское шоссе, дом 134 кв. 85</v>
      </c>
      <c r="E9049" s="3">
        <f>HYPERLINK("https://sao.dolgi.msk.ru/account/1404188972/", 1404188972)</f>
        <v>1404188972</v>
      </c>
      <c r="F9049">
        <v>2362.7600000000002</v>
      </c>
    </row>
    <row r="9050" spans="1:6" hidden="1" x14ac:dyDescent="0.25">
      <c r="A9050" t="s">
        <v>691</v>
      </c>
      <c r="B9050" t="s">
        <v>90</v>
      </c>
      <c r="E9050" s="3">
        <f>HYPERLINK("https://sao.dolgi.msk.ru/account/1404189668/", 1404189668)</f>
        <v>1404189668</v>
      </c>
      <c r="F9050">
        <v>-1847.87</v>
      </c>
    </row>
    <row r="9051" spans="1:6" x14ac:dyDescent="0.25">
      <c r="A9051" t="s">
        <v>691</v>
      </c>
      <c r="B9051" t="s">
        <v>91</v>
      </c>
      <c r="C9051" s="5" t="str">
        <f t="shared" ref="C9051:C9052" si="397">" кв. "&amp;B9051</f>
        <v xml:space="preserve"> кв. 87</v>
      </c>
      <c r="D9051" s="5" t="str">
        <f>CONCATENATE(A9051,C9051)</f>
        <v>Ленинградское шоссе, дом 134 кв. 87</v>
      </c>
      <c r="E9051" s="3">
        <f>HYPERLINK("https://sao.dolgi.msk.ru/account/1404189289/", 1404189289)</f>
        <v>1404189289</v>
      </c>
      <c r="F9051">
        <v>565.03</v>
      </c>
    </row>
    <row r="9052" spans="1:6" x14ac:dyDescent="0.25">
      <c r="A9052" t="s">
        <v>691</v>
      </c>
      <c r="B9052" t="s">
        <v>91</v>
      </c>
      <c r="C9052" s="5" t="str">
        <f t="shared" si="397"/>
        <v xml:space="preserve"> кв. 87</v>
      </c>
      <c r="D9052" s="5" t="str">
        <f>CONCATENATE(A9052,C9052)</f>
        <v>Ленинградское шоссе, дом 134 кв. 87</v>
      </c>
      <c r="E9052" s="3">
        <f>HYPERLINK("https://sao.dolgi.msk.ru/account/1404190095/", 1404190095)</f>
        <v>1404190095</v>
      </c>
      <c r="F9052">
        <v>565.29999999999995</v>
      </c>
    </row>
    <row r="9053" spans="1:6" hidden="1" x14ac:dyDescent="0.25">
      <c r="A9053" t="s">
        <v>691</v>
      </c>
      <c r="B9053" t="s">
        <v>92</v>
      </c>
      <c r="E9053" s="3">
        <f>HYPERLINK("https://sao.dolgi.msk.ru/account/1404188817/", 1404188817)</f>
        <v>1404188817</v>
      </c>
      <c r="F9053">
        <v>-2270.11</v>
      </c>
    </row>
    <row r="9054" spans="1:6" x14ac:dyDescent="0.25">
      <c r="A9054" t="s">
        <v>691</v>
      </c>
      <c r="B9054" t="s">
        <v>93</v>
      </c>
      <c r="C9054" s="5" t="str">
        <f>" кв. "&amp;B9054</f>
        <v xml:space="preserve"> кв. 89</v>
      </c>
      <c r="D9054" s="5" t="str">
        <f>CONCATENATE(A9054,C9054)</f>
        <v>Ленинградское шоссе, дом 134 кв. 89</v>
      </c>
      <c r="E9054" s="3">
        <f>HYPERLINK("https://sao.dolgi.msk.ru/account/1404188825/", 1404188825)</f>
        <v>1404188825</v>
      </c>
      <c r="F9054">
        <v>2362.7600000000002</v>
      </c>
    </row>
    <row r="9055" spans="1:6" hidden="1" x14ac:dyDescent="0.25">
      <c r="A9055" t="s">
        <v>691</v>
      </c>
      <c r="B9055" t="s">
        <v>94</v>
      </c>
      <c r="E9055" s="3">
        <f>HYPERLINK("https://sao.dolgi.msk.ru/account/1404189297/", 1404189297)</f>
        <v>1404189297</v>
      </c>
      <c r="F9055">
        <v>-1700.92</v>
      </c>
    </row>
    <row r="9056" spans="1:6" hidden="1" x14ac:dyDescent="0.25">
      <c r="A9056" t="s">
        <v>691</v>
      </c>
      <c r="B9056" t="s">
        <v>95</v>
      </c>
      <c r="E9056" s="3">
        <f>HYPERLINK("https://sao.dolgi.msk.ru/account/1404189502/", 1404189502)</f>
        <v>1404189502</v>
      </c>
      <c r="F9056">
        <v>-1238.72</v>
      </c>
    </row>
    <row r="9057" spans="1:6" hidden="1" x14ac:dyDescent="0.25">
      <c r="A9057" t="s">
        <v>691</v>
      </c>
      <c r="B9057" t="s">
        <v>95</v>
      </c>
      <c r="E9057" s="3">
        <f>HYPERLINK("https://sao.dolgi.msk.ru/account/1404190116/", 1404190116)</f>
        <v>1404190116</v>
      </c>
      <c r="F9057">
        <v>-619.36</v>
      </c>
    </row>
    <row r="9058" spans="1:6" hidden="1" x14ac:dyDescent="0.25">
      <c r="A9058" t="s">
        <v>691</v>
      </c>
      <c r="B9058" t="s">
        <v>96</v>
      </c>
      <c r="E9058" s="3">
        <f>HYPERLINK("https://sao.dolgi.msk.ru/account/1404189094/", 1404189094)</f>
        <v>1404189094</v>
      </c>
      <c r="F9058">
        <v>-917.49</v>
      </c>
    </row>
    <row r="9059" spans="1:6" hidden="1" x14ac:dyDescent="0.25">
      <c r="A9059" t="s">
        <v>691</v>
      </c>
      <c r="B9059" t="s">
        <v>96</v>
      </c>
      <c r="E9059" s="3">
        <f>HYPERLINK("https://sao.dolgi.msk.ru/account/1404190263/", 1404190263)</f>
        <v>1404190263</v>
      </c>
      <c r="F9059">
        <v>-1680.13</v>
      </c>
    </row>
    <row r="9060" spans="1:6" hidden="1" x14ac:dyDescent="0.25">
      <c r="A9060" t="s">
        <v>691</v>
      </c>
      <c r="B9060" t="s">
        <v>97</v>
      </c>
      <c r="E9060" s="3">
        <f>HYPERLINK("https://sao.dolgi.msk.ru/account/1404190124/", 1404190124)</f>
        <v>1404190124</v>
      </c>
      <c r="F9060">
        <v>-3461.93</v>
      </c>
    </row>
    <row r="9061" spans="1:6" hidden="1" x14ac:dyDescent="0.25">
      <c r="A9061" t="s">
        <v>691</v>
      </c>
      <c r="B9061" t="s">
        <v>98</v>
      </c>
      <c r="E9061" s="3">
        <f>HYPERLINK("https://sao.dolgi.msk.ru/account/1404189086/", 1404189086)</f>
        <v>1404189086</v>
      </c>
      <c r="F9061">
        <v>0</v>
      </c>
    </row>
    <row r="9062" spans="1:6" hidden="1" x14ac:dyDescent="0.25">
      <c r="A9062" t="s">
        <v>691</v>
      </c>
      <c r="B9062" t="s">
        <v>99</v>
      </c>
      <c r="E9062" s="3">
        <f>HYPERLINK("https://sao.dolgi.msk.ru/account/1404190087/", 1404190087)</f>
        <v>1404190087</v>
      </c>
      <c r="F9062">
        <v>-2468.1799999999998</v>
      </c>
    </row>
    <row r="9063" spans="1:6" hidden="1" x14ac:dyDescent="0.25">
      <c r="A9063" t="s">
        <v>691</v>
      </c>
      <c r="B9063" t="s">
        <v>100</v>
      </c>
      <c r="E9063" s="3">
        <f>HYPERLINK("https://sao.dolgi.msk.ru/account/1404189721/", 1404189721)</f>
        <v>1404189721</v>
      </c>
      <c r="F9063">
        <v>-5659.91</v>
      </c>
    </row>
    <row r="9064" spans="1:6" x14ac:dyDescent="0.25">
      <c r="A9064" t="s">
        <v>691</v>
      </c>
      <c r="B9064" t="s">
        <v>101</v>
      </c>
      <c r="C9064" s="5" t="str">
        <f>" кв. "&amp;B9064</f>
        <v xml:space="preserve"> кв. 97</v>
      </c>
      <c r="D9064" s="5" t="str">
        <f>CONCATENATE(A9064,C9064)</f>
        <v>Ленинградское шоссе, дом 134 кв. 97</v>
      </c>
      <c r="E9064" s="3">
        <f>HYPERLINK("https://sao.dolgi.msk.ru/account/1404189481/", 1404189481)</f>
        <v>1404189481</v>
      </c>
      <c r="F9064">
        <v>2362.7600000000002</v>
      </c>
    </row>
    <row r="9065" spans="1:6" hidden="1" x14ac:dyDescent="0.25">
      <c r="A9065" t="s">
        <v>691</v>
      </c>
      <c r="B9065" t="s">
        <v>102</v>
      </c>
      <c r="E9065" s="3">
        <f>HYPERLINK("https://sao.dolgi.msk.ru/account/1404190386/", 1404190386)</f>
        <v>1404190386</v>
      </c>
      <c r="F9065">
        <v>-1418.28</v>
      </c>
    </row>
    <row r="9066" spans="1:6" hidden="1" x14ac:dyDescent="0.25">
      <c r="A9066" t="s">
        <v>691</v>
      </c>
      <c r="B9066" t="s">
        <v>103</v>
      </c>
      <c r="E9066" s="3">
        <f>HYPERLINK("https://sao.dolgi.msk.ru/account/1404189967/", 1404189967)</f>
        <v>1404189967</v>
      </c>
      <c r="F9066">
        <v>-2472.81</v>
      </c>
    </row>
    <row r="9067" spans="1:6" hidden="1" x14ac:dyDescent="0.25">
      <c r="A9067" t="s">
        <v>691</v>
      </c>
      <c r="B9067" t="s">
        <v>104</v>
      </c>
      <c r="E9067" s="3">
        <f>HYPERLINK("https://sao.dolgi.msk.ru/account/1404189684/", 1404189684)</f>
        <v>1404189684</v>
      </c>
      <c r="F9067">
        <v>-3360.24</v>
      </c>
    </row>
    <row r="9068" spans="1:6" hidden="1" x14ac:dyDescent="0.25">
      <c r="A9068" t="s">
        <v>691</v>
      </c>
      <c r="B9068" t="s">
        <v>105</v>
      </c>
      <c r="E9068" s="3">
        <f>HYPERLINK("https://sao.dolgi.msk.ru/account/1404189692/", 1404189692)</f>
        <v>1404189692</v>
      </c>
      <c r="F9068">
        <v>-2685.42</v>
      </c>
    </row>
    <row r="9069" spans="1:6" hidden="1" x14ac:dyDescent="0.25">
      <c r="A9069" t="s">
        <v>691</v>
      </c>
      <c r="B9069" t="s">
        <v>106</v>
      </c>
      <c r="E9069" s="3">
        <f>HYPERLINK("https://sao.dolgi.msk.ru/account/1404189019/", 1404189019)</f>
        <v>1404189019</v>
      </c>
      <c r="F9069">
        <v>-2472.81</v>
      </c>
    </row>
    <row r="9070" spans="1:6" hidden="1" x14ac:dyDescent="0.25">
      <c r="A9070" t="s">
        <v>691</v>
      </c>
      <c r="B9070" t="s">
        <v>107</v>
      </c>
      <c r="E9070" s="3">
        <f>HYPERLINK("https://sao.dolgi.msk.ru/account/1404189377/", 1404189377)</f>
        <v>1404189377</v>
      </c>
      <c r="F9070">
        <v>0</v>
      </c>
    </row>
    <row r="9071" spans="1:6" x14ac:dyDescent="0.25">
      <c r="A9071" t="s">
        <v>691</v>
      </c>
      <c r="B9071" t="s">
        <v>108</v>
      </c>
      <c r="C9071" s="5" t="str">
        <f>" кв. "&amp;B9071</f>
        <v xml:space="preserve"> кв. 104</v>
      </c>
      <c r="D9071" s="5" t="str">
        <f>CONCATENATE(A9071,C9071)</f>
        <v>Ленинградское шоссе, дом 134 кв. 104</v>
      </c>
      <c r="E9071" s="3">
        <f>HYPERLINK("https://sao.dolgi.msk.ru/account/1404188921/", 1404188921)</f>
        <v>1404188921</v>
      </c>
      <c r="F9071">
        <v>1638.43</v>
      </c>
    </row>
    <row r="9072" spans="1:6" hidden="1" x14ac:dyDescent="0.25">
      <c r="A9072" t="s">
        <v>691</v>
      </c>
      <c r="B9072" t="s">
        <v>109</v>
      </c>
      <c r="E9072" s="3">
        <f>HYPERLINK("https://sao.dolgi.msk.ru/account/1404190191/", 1404190191)</f>
        <v>1404190191</v>
      </c>
      <c r="F9072">
        <v>0</v>
      </c>
    </row>
    <row r="9073" spans="1:6" hidden="1" x14ac:dyDescent="0.25">
      <c r="A9073" t="s">
        <v>691</v>
      </c>
      <c r="B9073" t="s">
        <v>110</v>
      </c>
      <c r="E9073" s="3">
        <f>HYPERLINK("https://sao.dolgi.msk.ru/account/1404190204/", 1404190204)</f>
        <v>1404190204</v>
      </c>
      <c r="F9073">
        <v>-2066.9299999999998</v>
      </c>
    </row>
    <row r="9074" spans="1:6" hidden="1" x14ac:dyDescent="0.25">
      <c r="A9074" t="s">
        <v>691</v>
      </c>
      <c r="B9074" t="s">
        <v>111</v>
      </c>
      <c r="E9074" s="3">
        <f>HYPERLINK("https://sao.dolgi.msk.ru/account/1404189385/", 1404189385)</f>
        <v>1404189385</v>
      </c>
      <c r="F9074">
        <v>0</v>
      </c>
    </row>
    <row r="9075" spans="1:6" x14ac:dyDescent="0.25">
      <c r="A9075" t="s">
        <v>691</v>
      </c>
      <c r="B9075" t="s">
        <v>112</v>
      </c>
      <c r="C9075" s="5" t="str">
        <f>" кв. "&amp;B9075</f>
        <v xml:space="preserve"> кв. 108</v>
      </c>
      <c r="D9075" s="5" t="str">
        <f>CONCATENATE(A9075,C9075)</f>
        <v>Ленинградское шоссе, дом 134 кв. 108</v>
      </c>
      <c r="E9075" s="3">
        <f>HYPERLINK("https://sao.dolgi.msk.ru/account/1404189393/", 1404189393)</f>
        <v>1404189393</v>
      </c>
      <c r="F9075">
        <v>1780.76</v>
      </c>
    </row>
    <row r="9076" spans="1:6" hidden="1" x14ac:dyDescent="0.25">
      <c r="A9076" t="s">
        <v>691</v>
      </c>
      <c r="B9076" t="s">
        <v>113</v>
      </c>
      <c r="E9076" s="3">
        <f>HYPERLINK("https://sao.dolgi.msk.ru/account/1404189932/", 1404189932)</f>
        <v>1404189932</v>
      </c>
      <c r="F9076">
        <v>-3457.3</v>
      </c>
    </row>
    <row r="9077" spans="1:6" hidden="1" x14ac:dyDescent="0.25">
      <c r="A9077" t="s">
        <v>691</v>
      </c>
      <c r="B9077" t="s">
        <v>114</v>
      </c>
      <c r="E9077" s="3">
        <f>HYPERLINK("https://sao.dolgi.msk.ru/account/1404189959/", 1404189959)</f>
        <v>1404189959</v>
      </c>
      <c r="F9077">
        <v>-1424.39</v>
      </c>
    </row>
    <row r="9078" spans="1:6" hidden="1" x14ac:dyDescent="0.25">
      <c r="A9078" t="s">
        <v>691</v>
      </c>
      <c r="B9078" t="s">
        <v>115</v>
      </c>
      <c r="E9078" s="3">
        <f>HYPERLINK("https://sao.dolgi.msk.ru/account/1404189406/", 1404189406)</f>
        <v>1404189406</v>
      </c>
      <c r="F9078">
        <v>-1696.3</v>
      </c>
    </row>
    <row r="9079" spans="1:6" hidden="1" x14ac:dyDescent="0.25">
      <c r="A9079" t="s">
        <v>691</v>
      </c>
      <c r="B9079" t="s">
        <v>116</v>
      </c>
      <c r="E9079" s="3">
        <f>HYPERLINK("https://sao.dolgi.msk.ru/account/1404190335/", 1404190335)</f>
        <v>1404190335</v>
      </c>
      <c r="F9079">
        <v>0</v>
      </c>
    </row>
    <row r="9080" spans="1:6" x14ac:dyDescent="0.25">
      <c r="A9080" t="s">
        <v>691</v>
      </c>
      <c r="B9080" t="s">
        <v>117</v>
      </c>
      <c r="C9080" s="5" t="str">
        <f>" кв. "&amp;B9080</f>
        <v xml:space="preserve"> кв. 113</v>
      </c>
      <c r="D9080" s="5" t="str">
        <f>CONCATENATE(A9080,C9080)</f>
        <v>Ленинградское шоссе, дом 134 кв. 113</v>
      </c>
      <c r="E9080" s="3">
        <f>HYPERLINK("https://sao.dolgi.msk.ru/account/1404189588/", 1404189588)</f>
        <v>1404189588</v>
      </c>
      <c r="F9080">
        <v>1856.68</v>
      </c>
    </row>
    <row r="9081" spans="1:6" hidden="1" x14ac:dyDescent="0.25">
      <c r="A9081" t="s">
        <v>691</v>
      </c>
      <c r="B9081" t="s">
        <v>118</v>
      </c>
      <c r="E9081" s="3">
        <f>HYPERLINK("https://sao.dolgi.msk.ru/account/1404189131/", 1404189131)</f>
        <v>1404189131</v>
      </c>
      <c r="F9081">
        <v>-879.57</v>
      </c>
    </row>
    <row r="9082" spans="1:6" hidden="1" x14ac:dyDescent="0.25">
      <c r="A9082" t="s">
        <v>691</v>
      </c>
      <c r="B9082" t="s">
        <v>118</v>
      </c>
      <c r="E9082" s="3">
        <f>HYPERLINK("https://sao.dolgi.msk.ru/account/1404189772/", 1404189772)</f>
        <v>1404189772</v>
      </c>
      <c r="F9082">
        <v>-821.35</v>
      </c>
    </row>
    <row r="9083" spans="1:6" x14ac:dyDescent="0.25">
      <c r="A9083" t="s">
        <v>691</v>
      </c>
      <c r="B9083" t="s">
        <v>119</v>
      </c>
      <c r="C9083" s="5" t="str">
        <f>" кв. "&amp;B9083</f>
        <v xml:space="preserve"> кв. 115</v>
      </c>
      <c r="D9083" s="5" t="str">
        <f>CONCATENATE(A9083,C9083)</f>
        <v>Ленинградское шоссе, дом 134 кв. 115</v>
      </c>
      <c r="E9083" s="3">
        <f>HYPERLINK("https://sao.dolgi.msk.ru/account/1404189596/", 1404189596)</f>
        <v>1404189596</v>
      </c>
      <c r="F9083">
        <v>847.69</v>
      </c>
    </row>
    <row r="9084" spans="1:6" hidden="1" x14ac:dyDescent="0.25">
      <c r="A9084" t="s">
        <v>691</v>
      </c>
      <c r="B9084" t="s">
        <v>120</v>
      </c>
      <c r="E9084" s="3">
        <f>HYPERLINK("https://sao.dolgi.msk.ru/account/1404190343/", 1404190343)</f>
        <v>1404190343</v>
      </c>
      <c r="F9084">
        <v>-2327.44</v>
      </c>
    </row>
    <row r="9085" spans="1:6" hidden="1" x14ac:dyDescent="0.25">
      <c r="A9085" t="s">
        <v>691</v>
      </c>
      <c r="B9085" t="s">
        <v>121</v>
      </c>
      <c r="E9085" s="3">
        <f>HYPERLINK("https://sao.dolgi.msk.ru/account/1404189609/", 1404189609)</f>
        <v>1404189609</v>
      </c>
      <c r="F9085">
        <v>-2931.08</v>
      </c>
    </row>
    <row r="9086" spans="1:6" hidden="1" x14ac:dyDescent="0.25">
      <c r="A9086" t="s">
        <v>691</v>
      </c>
      <c r="B9086" t="s">
        <v>122</v>
      </c>
      <c r="E9086" s="3">
        <f>HYPERLINK("https://sao.dolgi.msk.ru/account/1404188948/", 1404188948)</f>
        <v>1404188948</v>
      </c>
      <c r="F9086">
        <v>-1560.61</v>
      </c>
    </row>
    <row r="9087" spans="1:6" hidden="1" x14ac:dyDescent="0.25">
      <c r="A9087" t="s">
        <v>691</v>
      </c>
      <c r="B9087" t="s">
        <v>123</v>
      </c>
      <c r="E9087" s="3">
        <f>HYPERLINK("https://sao.dolgi.msk.ru/account/1404189799/", 1404189799)</f>
        <v>1404189799</v>
      </c>
      <c r="F9087">
        <v>-2074.7199999999998</v>
      </c>
    </row>
    <row r="9088" spans="1:6" hidden="1" x14ac:dyDescent="0.25">
      <c r="A9088" t="s">
        <v>691</v>
      </c>
      <c r="B9088" t="s">
        <v>124</v>
      </c>
      <c r="E9088" s="3">
        <f>HYPERLINK("https://sao.dolgi.msk.ru/account/1404189449/", 1404189449)</f>
        <v>1404189449</v>
      </c>
      <c r="F9088">
        <v>-845.83</v>
      </c>
    </row>
    <row r="9089" spans="1:6" hidden="1" x14ac:dyDescent="0.25">
      <c r="A9089" t="s">
        <v>691</v>
      </c>
      <c r="B9089" t="s">
        <v>124</v>
      </c>
      <c r="E9089" s="3">
        <f>HYPERLINK("https://sao.dolgi.msk.ru/account/1404189617/", 1404189617)</f>
        <v>1404189617</v>
      </c>
      <c r="F9089">
        <v>-1615.09</v>
      </c>
    </row>
    <row r="9090" spans="1:6" hidden="1" x14ac:dyDescent="0.25">
      <c r="A9090" t="s">
        <v>691</v>
      </c>
      <c r="B9090" t="s">
        <v>125</v>
      </c>
      <c r="E9090" s="3">
        <f>HYPERLINK("https://sao.dolgi.msk.ru/account/1404189414/", 1404189414)</f>
        <v>1404189414</v>
      </c>
      <c r="F9090">
        <v>-3411.09</v>
      </c>
    </row>
    <row r="9091" spans="1:6" hidden="1" x14ac:dyDescent="0.25">
      <c r="A9091" t="s">
        <v>691</v>
      </c>
      <c r="B9091" t="s">
        <v>126</v>
      </c>
      <c r="E9091" s="3">
        <f>HYPERLINK("https://sao.dolgi.msk.ru/account/1404189246/", 1404189246)</f>
        <v>1404189246</v>
      </c>
      <c r="F9091">
        <v>-1563.21</v>
      </c>
    </row>
    <row r="9092" spans="1:6" hidden="1" x14ac:dyDescent="0.25">
      <c r="A9092" t="s">
        <v>691</v>
      </c>
      <c r="B9092" t="s">
        <v>127</v>
      </c>
      <c r="E9092" s="3">
        <f>HYPERLINK("https://sao.dolgi.msk.ru/account/1404190351/", 1404190351)</f>
        <v>1404190351</v>
      </c>
      <c r="F9092">
        <v>-2468.1799999999998</v>
      </c>
    </row>
    <row r="9093" spans="1:6" x14ac:dyDescent="0.25">
      <c r="A9093" t="s">
        <v>691</v>
      </c>
      <c r="B9093" t="s">
        <v>128</v>
      </c>
      <c r="C9093" s="5" t="str">
        <f t="shared" ref="C9093:C9095" si="398">" кв. "&amp;B9093</f>
        <v xml:space="preserve"> кв. 124</v>
      </c>
      <c r="D9093" s="5" t="str">
        <f>CONCATENATE(A9093,C9093)</f>
        <v>Ленинградское шоссе, дом 134 кв. 124</v>
      </c>
      <c r="E9093" s="3">
        <f>HYPERLINK("https://sao.dolgi.msk.ru/account/1404189158/", 1404189158)</f>
        <v>1404189158</v>
      </c>
      <c r="F9093">
        <v>1451.82</v>
      </c>
    </row>
    <row r="9094" spans="1:6" x14ac:dyDescent="0.25">
      <c r="A9094" t="s">
        <v>691</v>
      </c>
      <c r="B9094" t="s">
        <v>129</v>
      </c>
      <c r="C9094" s="5" t="str">
        <f t="shared" si="398"/>
        <v xml:space="preserve"> кв. 125</v>
      </c>
      <c r="D9094" s="5" t="str">
        <f>CONCATENATE(A9094,C9094)</f>
        <v>Ленинградское шоссе, дом 134 кв. 125</v>
      </c>
      <c r="E9094" s="3">
        <f>HYPERLINK("https://sao.dolgi.msk.ru/account/1404190378/", 1404190378)</f>
        <v>1404190378</v>
      </c>
      <c r="F9094">
        <v>1182.96</v>
      </c>
    </row>
    <row r="9095" spans="1:6" x14ac:dyDescent="0.25">
      <c r="A9095" t="s">
        <v>691</v>
      </c>
      <c r="B9095" t="s">
        <v>130</v>
      </c>
      <c r="C9095" s="5" t="str">
        <f t="shared" si="398"/>
        <v xml:space="preserve"> кв. 126</v>
      </c>
      <c r="D9095" s="5" t="str">
        <f>CONCATENATE(A9095,C9095)</f>
        <v>Ленинградское шоссе, дом 134 кв. 126</v>
      </c>
      <c r="E9095" s="3">
        <f>HYPERLINK("https://sao.dolgi.msk.ru/account/1404190001/", 1404190001)</f>
        <v>1404190001</v>
      </c>
      <c r="F9095">
        <v>1685.88</v>
      </c>
    </row>
    <row r="9096" spans="1:6" hidden="1" x14ac:dyDescent="0.25">
      <c r="A9096" t="s">
        <v>691</v>
      </c>
      <c r="B9096" t="s">
        <v>131</v>
      </c>
      <c r="E9096" s="3">
        <f>HYPERLINK("https://sao.dolgi.msk.ru/account/1404189465/", 1404189465)</f>
        <v>1404189465</v>
      </c>
      <c r="F9096">
        <v>-2048.58</v>
      </c>
    </row>
    <row r="9097" spans="1:6" hidden="1" x14ac:dyDescent="0.25">
      <c r="A9097" t="s">
        <v>691</v>
      </c>
      <c r="B9097" t="s">
        <v>132</v>
      </c>
      <c r="E9097" s="3">
        <f>HYPERLINK("https://sao.dolgi.msk.ru/account/1404189844/", 1404189844)</f>
        <v>1404189844</v>
      </c>
      <c r="F9097">
        <v>-3387.98</v>
      </c>
    </row>
    <row r="9098" spans="1:6" x14ac:dyDescent="0.25">
      <c r="A9098" t="s">
        <v>692</v>
      </c>
      <c r="B9098" t="s">
        <v>5</v>
      </c>
      <c r="C9098" s="5" t="str">
        <f>" кв. "&amp;B9098</f>
        <v xml:space="preserve"> кв. 1</v>
      </c>
      <c r="D9098" s="5" t="str">
        <f>CONCATENATE(A9098,C9098)</f>
        <v>Прибрежный пр., дом 1 кв. 1</v>
      </c>
      <c r="E9098" s="3">
        <f>HYPERLINK("https://sao.dolgi.msk.ru/account/1404191717/", 1404191717)</f>
        <v>1404191717</v>
      </c>
      <c r="F9098">
        <v>951.35</v>
      </c>
    </row>
    <row r="9099" spans="1:6" hidden="1" x14ac:dyDescent="0.25">
      <c r="A9099" t="s">
        <v>692</v>
      </c>
      <c r="B9099" t="s">
        <v>6</v>
      </c>
      <c r="E9099" s="3">
        <f>HYPERLINK("https://sao.dolgi.msk.ru/account/1404191768/", 1404191768)</f>
        <v>1404191768</v>
      </c>
      <c r="F9099">
        <v>-2140.83</v>
      </c>
    </row>
    <row r="9100" spans="1:6" hidden="1" x14ac:dyDescent="0.25">
      <c r="A9100" t="s">
        <v>692</v>
      </c>
      <c r="B9100" t="s">
        <v>7</v>
      </c>
      <c r="E9100" s="3">
        <f>HYPERLINK("https://sao.dolgi.msk.ru/account/1404191506/", 1404191506)</f>
        <v>1404191506</v>
      </c>
      <c r="F9100">
        <v>-1246.74</v>
      </c>
    </row>
    <row r="9101" spans="1:6" hidden="1" x14ac:dyDescent="0.25">
      <c r="A9101" t="s">
        <v>692</v>
      </c>
      <c r="B9101" t="s">
        <v>8</v>
      </c>
      <c r="E9101" s="3">
        <f>HYPERLINK("https://sao.dolgi.msk.ru/account/1404191311/", 1404191311)</f>
        <v>1404191311</v>
      </c>
      <c r="F9101">
        <v>-1503.92</v>
      </c>
    </row>
    <row r="9102" spans="1:6" hidden="1" x14ac:dyDescent="0.25">
      <c r="A9102" t="s">
        <v>692</v>
      </c>
      <c r="B9102" t="s">
        <v>9</v>
      </c>
      <c r="E9102" s="3">
        <f>HYPERLINK("https://sao.dolgi.msk.ru/account/1404191485/", 1404191485)</f>
        <v>1404191485</v>
      </c>
      <c r="F9102">
        <v>-1458.71</v>
      </c>
    </row>
    <row r="9103" spans="1:6" hidden="1" x14ac:dyDescent="0.25">
      <c r="A9103" t="s">
        <v>692</v>
      </c>
      <c r="B9103" t="s">
        <v>10</v>
      </c>
      <c r="E9103" s="3">
        <f>HYPERLINK("https://sao.dolgi.msk.ru/account/1404190618/", 1404190618)</f>
        <v>1404190618</v>
      </c>
      <c r="F9103">
        <v>0</v>
      </c>
    </row>
    <row r="9104" spans="1:6" hidden="1" x14ac:dyDescent="0.25">
      <c r="A9104" t="s">
        <v>692</v>
      </c>
      <c r="B9104" t="s">
        <v>10</v>
      </c>
      <c r="E9104" s="3">
        <f>HYPERLINK("https://sao.dolgi.msk.ru/account/1404190829/", 1404190829)</f>
        <v>1404190829</v>
      </c>
      <c r="F9104">
        <v>-779.55</v>
      </c>
    </row>
    <row r="9105" spans="1:6" hidden="1" x14ac:dyDescent="0.25">
      <c r="A9105" t="s">
        <v>692</v>
      </c>
      <c r="B9105" t="s">
        <v>11</v>
      </c>
      <c r="E9105" s="3">
        <f>HYPERLINK("https://sao.dolgi.msk.ru/account/1404190765/", 1404190765)</f>
        <v>1404190765</v>
      </c>
      <c r="F9105">
        <v>-2654.46</v>
      </c>
    </row>
    <row r="9106" spans="1:6" hidden="1" x14ac:dyDescent="0.25">
      <c r="A9106" t="s">
        <v>692</v>
      </c>
      <c r="B9106" t="s">
        <v>12</v>
      </c>
      <c r="E9106" s="3">
        <f>HYPERLINK("https://sao.dolgi.msk.ru/account/1404191469/", 1404191469)</f>
        <v>1404191469</v>
      </c>
      <c r="F9106">
        <v>-1714.79</v>
      </c>
    </row>
    <row r="9107" spans="1:6" hidden="1" x14ac:dyDescent="0.25">
      <c r="A9107" t="s">
        <v>692</v>
      </c>
      <c r="B9107" t="s">
        <v>13</v>
      </c>
      <c r="E9107" s="3">
        <f>HYPERLINK("https://sao.dolgi.msk.ru/account/1404191696/", 1404191696)</f>
        <v>1404191696</v>
      </c>
      <c r="F9107">
        <v>-1668.56</v>
      </c>
    </row>
    <row r="9108" spans="1:6" hidden="1" x14ac:dyDescent="0.25">
      <c r="A9108" t="s">
        <v>692</v>
      </c>
      <c r="B9108" t="s">
        <v>14</v>
      </c>
      <c r="E9108" s="3">
        <f>HYPERLINK("https://sao.dolgi.msk.ru/account/1404190554/", 1404190554)</f>
        <v>1404190554</v>
      </c>
      <c r="F9108">
        <v>-1348.22</v>
      </c>
    </row>
    <row r="9109" spans="1:6" hidden="1" x14ac:dyDescent="0.25">
      <c r="A9109" t="s">
        <v>692</v>
      </c>
      <c r="B9109" t="s">
        <v>15</v>
      </c>
      <c r="E9109" s="3">
        <f>HYPERLINK("https://sao.dolgi.msk.ru/account/1404191741/", 1404191741)</f>
        <v>1404191741</v>
      </c>
      <c r="F9109">
        <v>0</v>
      </c>
    </row>
    <row r="9110" spans="1:6" hidden="1" x14ac:dyDescent="0.25">
      <c r="A9110" t="s">
        <v>692</v>
      </c>
      <c r="B9110" t="s">
        <v>16</v>
      </c>
      <c r="E9110" s="3">
        <f>HYPERLINK("https://sao.dolgi.msk.ru/account/1404191039/", 1404191039)</f>
        <v>1404191039</v>
      </c>
      <c r="F9110">
        <v>0</v>
      </c>
    </row>
    <row r="9111" spans="1:6" hidden="1" x14ac:dyDescent="0.25">
      <c r="A9111" t="s">
        <v>692</v>
      </c>
      <c r="B9111" t="s">
        <v>17</v>
      </c>
      <c r="E9111" s="3">
        <f>HYPERLINK("https://sao.dolgi.msk.ru/account/1404191282/", 1404191282)</f>
        <v>1404191282</v>
      </c>
      <c r="F9111">
        <v>-1659.32</v>
      </c>
    </row>
    <row r="9112" spans="1:6" x14ac:dyDescent="0.25">
      <c r="A9112" t="s">
        <v>692</v>
      </c>
      <c r="B9112" t="s">
        <v>18</v>
      </c>
      <c r="C9112" s="5" t="str">
        <f>" кв. "&amp;B9112</f>
        <v xml:space="preserve"> кв. 14</v>
      </c>
      <c r="D9112" s="5" t="str">
        <f>CONCATENATE(A9112,C9112)</f>
        <v>Прибрежный пр., дом 1 кв. 14</v>
      </c>
      <c r="E9112" s="3">
        <f>HYPERLINK("https://sao.dolgi.msk.ru/account/1404191602/", 1404191602)</f>
        <v>1404191602</v>
      </c>
      <c r="F9112">
        <v>1641.6</v>
      </c>
    </row>
    <row r="9113" spans="1:6" hidden="1" x14ac:dyDescent="0.25">
      <c r="A9113" t="s">
        <v>692</v>
      </c>
      <c r="B9113" t="s">
        <v>19</v>
      </c>
      <c r="E9113" s="3">
        <f>HYPERLINK("https://sao.dolgi.msk.ru/account/1404191821/", 1404191821)</f>
        <v>1404191821</v>
      </c>
      <c r="F9113">
        <v>-1409.09</v>
      </c>
    </row>
    <row r="9114" spans="1:6" hidden="1" x14ac:dyDescent="0.25">
      <c r="A9114" t="s">
        <v>692</v>
      </c>
      <c r="B9114" t="s">
        <v>20</v>
      </c>
      <c r="E9114" s="3">
        <f>HYPERLINK("https://sao.dolgi.msk.ru/account/1404190853/", 1404190853)</f>
        <v>1404190853</v>
      </c>
      <c r="F9114">
        <v>-1432.46</v>
      </c>
    </row>
    <row r="9115" spans="1:6" hidden="1" x14ac:dyDescent="0.25">
      <c r="A9115" t="s">
        <v>692</v>
      </c>
      <c r="B9115" t="s">
        <v>21</v>
      </c>
      <c r="E9115" s="3">
        <f>HYPERLINK("https://sao.dolgi.msk.ru/account/1404192031/", 1404192031)</f>
        <v>1404192031</v>
      </c>
      <c r="F9115">
        <v>-1645.45</v>
      </c>
    </row>
    <row r="9116" spans="1:6" hidden="1" x14ac:dyDescent="0.25">
      <c r="A9116" t="s">
        <v>692</v>
      </c>
      <c r="B9116" t="s">
        <v>22</v>
      </c>
      <c r="E9116" s="3">
        <f>HYPERLINK("https://sao.dolgi.msk.ru/account/1404191426/", 1404191426)</f>
        <v>1404191426</v>
      </c>
      <c r="F9116">
        <v>0</v>
      </c>
    </row>
    <row r="9117" spans="1:6" x14ac:dyDescent="0.25">
      <c r="A9117" t="s">
        <v>692</v>
      </c>
      <c r="B9117" t="s">
        <v>23</v>
      </c>
      <c r="C9117" s="5" t="str">
        <f>" кв. "&amp;B9117</f>
        <v xml:space="preserve"> кв. 19</v>
      </c>
      <c r="D9117" s="5" t="str">
        <f>CONCATENATE(A9117,C9117)</f>
        <v>Прибрежный пр., дом 1 кв. 19</v>
      </c>
      <c r="E9117" s="3">
        <f>HYPERLINK("https://sao.dolgi.msk.ru/account/1404191012/", 1404191012)</f>
        <v>1404191012</v>
      </c>
      <c r="F9117">
        <v>2068.6</v>
      </c>
    </row>
    <row r="9118" spans="1:6" hidden="1" x14ac:dyDescent="0.25">
      <c r="A9118" t="s">
        <v>692</v>
      </c>
      <c r="B9118" t="s">
        <v>24</v>
      </c>
      <c r="E9118" s="3">
        <f>HYPERLINK("https://sao.dolgi.msk.ru/account/1404190781/", 1404190781)</f>
        <v>1404190781</v>
      </c>
      <c r="F9118">
        <v>-2431.1999999999998</v>
      </c>
    </row>
    <row r="9119" spans="1:6" x14ac:dyDescent="0.25">
      <c r="A9119" t="s">
        <v>692</v>
      </c>
      <c r="B9119" t="s">
        <v>25</v>
      </c>
      <c r="C9119" s="5" t="str">
        <f>" кв. "&amp;B9119</f>
        <v xml:space="preserve"> кв. 21</v>
      </c>
      <c r="D9119" s="5" t="str">
        <f>CONCATENATE(A9119,C9119)</f>
        <v>Прибрежный пр., дом 1 кв. 21</v>
      </c>
      <c r="E9119" s="3">
        <f>HYPERLINK("https://sao.dolgi.msk.ru/account/1404191557/", 1404191557)</f>
        <v>1404191557</v>
      </c>
      <c r="F9119">
        <v>1129.19</v>
      </c>
    </row>
    <row r="9120" spans="1:6" hidden="1" x14ac:dyDescent="0.25">
      <c r="A9120" t="s">
        <v>692</v>
      </c>
      <c r="B9120" t="s">
        <v>26</v>
      </c>
      <c r="E9120" s="3">
        <f>HYPERLINK("https://sao.dolgi.msk.ru/account/1404191565/", 1404191565)</f>
        <v>1404191565</v>
      </c>
      <c r="F9120">
        <v>-1348.22</v>
      </c>
    </row>
    <row r="9121" spans="1:6" hidden="1" x14ac:dyDescent="0.25">
      <c r="A9121" t="s">
        <v>692</v>
      </c>
      <c r="B9121" t="s">
        <v>27</v>
      </c>
      <c r="E9121" s="3">
        <f>HYPERLINK("https://sao.dolgi.msk.ru/account/1404190802/", 1404190802)</f>
        <v>1404190802</v>
      </c>
      <c r="F9121">
        <v>0</v>
      </c>
    </row>
    <row r="9122" spans="1:6" hidden="1" x14ac:dyDescent="0.25">
      <c r="A9122" t="s">
        <v>692</v>
      </c>
      <c r="B9122" t="s">
        <v>28</v>
      </c>
      <c r="E9122" s="3">
        <f>HYPERLINK("https://sao.dolgi.msk.ru/account/1404190706/", 1404190706)</f>
        <v>1404190706</v>
      </c>
      <c r="F9122">
        <v>-910.56</v>
      </c>
    </row>
    <row r="9123" spans="1:6" hidden="1" x14ac:dyDescent="0.25">
      <c r="A9123" t="s">
        <v>692</v>
      </c>
      <c r="B9123" t="s">
        <v>29</v>
      </c>
      <c r="E9123" s="3">
        <f>HYPERLINK("https://sao.dolgi.msk.ru/account/1404191573/", 1404191573)</f>
        <v>1404191573</v>
      </c>
      <c r="F9123">
        <v>-522.34</v>
      </c>
    </row>
    <row r="9124" spans="1:6" x14ac:dyDescent="0.25">
      <c r="A9124" t="s">
        <v>692</v>
      </c>
      <c r="B9124" t="s">
        <v>30</v>
      </c>
      <c r="C9124" s="5" t="str">
        <f>" кв. "&amp;B9124</f>
        <v xml:space="preserve"> кв. 26</v>
      </c>
      <c r="D9124" s="5" t="str">
        <f>CONCATENATE(A9124,C9124)</f>
        <v>Прибрежный пр., дом 1 кв. 26</v>
      </c>
      <c r="E9124" s="3">
        <f>HYPERLINK("https://sao.dolgi.msk.ru/account/1404190749/", 1404190749)</f>
        <v>1404190749</v>
      </c>
      <c r="F9124">
        <v>1641.6</v>
      </c>
    </row>
    <row r="9125" spans="1:6" hidden="1" x14ac:dyDescent="0.25">
      <c r="A9125" t="s">
        <v>692</v>
      </c>
      <c r="B9125" t="s">
        <v>31</v>
      </c>
      <c r="E9125" s="3">
        <f>HYPERLINK("https://sao.dolgi.msk.ru/account/1404190546/", 1404190546)</f>
        <v>1404190546</v>
      </c>
      <c r="F9125">
        <v>-2999.73</v>
      </c>
    </row>
    <row r="9126" spans="1:6" hidden="1" x14ac:dyDescent="0.25">
      <c r="A9126" t="s">
        <v>692</v>
      </c>
      <c r="B9126" t="s">
        <v>32</v>
      </c>
      <c r="E9126" s="3">
        <f>HYPERLINK("https://sao.dolgi.msk.ru/account/1404191207/", 1404191207)</f>
        <v>1404191207</v>
      </c>
      <c r="F9126">
        <v>-1533.34</v>
      </c>
    </row>
    <row r="9127" spans="1:6" hidden="1" x14ac:dyDescent="0.25">
      <c r="A9127" t="s">
        <v>692</v>
      </c>
      <c r="B9127" t="s">
        <v>33</v>
      </c>
      <c r="E9127" s="3">
        <f>HYPERLINK("https://sao.dolgi.msk.ru/account/1404191354/", 1404191354)</f>
        <v>1404191354</v>
      </c>
      <c r="F9127">
        <v>-905.92</v>
      </c>
    </row>
    <row r="9128" spans="1:6" hidden="1" x14ac:dyDescent="0.25">
      <c r="A9128" t="s">
        <v>692</v>
      </c>
      <c r="B9128" t="s">
        <v>34</v>
      </c>
      <c r="E9128" s="3">
        <f>HYPERLINK("https://sao.dolgi.msk.ru/account/1404191872/", 1404191872)</f>
        <v>1404191872</v>
      </c>
      <c r="F9128">
        <v>-1617.73</v>
      </c>
    </row>
    <row r="9129" spans="1:6" hidden="1" x14ac:dyDescent="0.25">
      <c r="A9129" t="s">
        <v>692</v>
      </c>
      <c r="B9129" t="s">
        <v>35</v>
      </c>
      <c r="E9129" s="3">
        <f>HYPERLINK("https://sao.dolgi.msk.ru/account/1404191899/", 1404191899)</f>
        <v>1404191899</v>
      </c>
      <c r="F9129">
        <v>-1654.69</v>
      </c>
    </row>
    <row r="9130" spans="1:6" x14ac:dyDescent="0.25">
      <c r="A9130" t="s">
        <v>692</v>
      </c>
      <c r="B9130" t="s">
        <v>36</v>
      </c>
      <c r="C9130" s="5" t="str">
        <f>" кв. "&amp;B9130</f>
        <v xml:space="preserve"> кв. 32</v>
      </c>
      <c r="D9130" s="5" t="str">
        <f>CONCATENATE(A9130,C9130)</f>
        <v>Прибрежный пр., дом 1 кв. 32</v>
      </c>
      <c r="E9130" s="3">
        <f>HYPERLINK("https://sao.dolgi.msk.ru/account/1404191098/", 1404191098)</f>
        <v>1404191098</v>
      </c>
      <c r="F9130">
        <v>1157.6600000000001</v>
      </c>
    </row>
    <row r="9131" spans="1:6" hidden="1" x14ac:dyDescent="0.25">
      <c r="A9131" t="s">
        <v>692</v>
      </c>
      <c r="B9131" t="s">
        <v>37</v>
      </c>
      <c r="E9131" s="3">
        <f>HYPERLINK("https://sao.dolgi.msk.ru/account/1404190909/", 1404190909)</f>
        <v>1404190909</v>
      </c>
      <c r="F9131">
        <v>-1405.2</v>
      </c>
    </row>
    <row r="9132" spans="1:6" hidden="1" x14ac:dyDescent="0.25">
      <c r="A9132" t="s">
        <v>692</v>
      </c>
      <c r="B9132" t="s">
        <v>38</v>
      </c>
      <c r="E9132" s="3">
        <f>HYPERLINK("https://sao.dolgi.msk.ru/account/1404191119/", 1404191119)</f>
        <v>1404191119</v>
      </c>
      <c r="F9132">
        <v>-1498.34</v>
      </c>
    </row>
    <row r="9133" spans="1:6" hidden="1" x14ac:dyDescent="0.25">
      <c r="A9133" t="s">
        <v>692</v>
      </c>
      <c r="B9133" t="s">
        <v>39</v>
      </c>
      <c r="E9133" s="3">
        <f>HYPERLINK("https://sao.dolgi.msk.ru/account/1404191127/", 1404191127)</f>
        <v>1404191127</v>
      </c>
      <c r="F9133">
        <v>0</v>
      </c>
    </row>
    <row r="9134" spans="1:6" hidden="1" x14ac:dyDescent="0.25">
      <c r="A9134" t="s">
        <v>692</v>
      </c>
      <c r="B9134" t="s">
        <v>40</v>
      </c>
      <c r="E9134" s="3">
        <f>HYPERLINK("https://sao.dolgi.msk.ru/account/1404190917/", 1404190917)</f>
        <v>1404190917</v>
      </c>
      <c r="F9134">
        <v>0</v>
      </c>
    </row>
    <row r="9135" spans="1:6" hidden="1" x14ac:dyDescent="0.25">
      <c r="A9135" t="s">
        <v>692</v>
      </c>
      <c r="B9135" t="s">
        <v>41</v>
      </c>
      <c r="E9135" s="3">
        <f>HYPERLINK("https://sao.dolgi.msk.ru/account/1404191223/", 1404191223)</f>
        <v>1404191223</v>
      </c>
      <c r="F9135">
        <v>-1659.32</v>
      </c>
    </row>
    <row r="9136" spans="1:6" hidden="1" x14ac:dyDescent="0.25">
      <c r="A9136" t="s">
        <v>692</v>
      </c>
      <c r="B9136" t="s">
        <v>42</v>
      </c>
      <c r="E9136" s="3">
        <f>HYPERLINK("https://sao.dolgi.msk.ru/account/1404190925/", 1404190925)</f>
        <v>1404190925</v>
      </c>
      <c r="F9136">
        <v>-2384.9899999999998</v>
      </c>
    </row>
    <row r="9137" spans="1:6" hidden="1" x14ac:dyDescent="0.25">
      <c r="A9137" t="s">
        <v>692</v>
      </c>
      <c r="B9137" t="s">
        <v>43</v>
      </c>
      <c r="E9137" s="3">
        <f>HYPERLINK("https://sao.dolgi.msk.ru/account/1404191135/", 1404191135)</f>
        <v>1404191135</v>
      </c>
      <c r="F9137">
        <v>0</v>
      </c>
    </row>
    <row r="9138" spans="1:6" hidden="1" x14ac:dyDescent="0.25">
      <c r="A9138" t="s">
        <v>692</v>
      </c>
      <c r="B9138" t="s">
        <v>44</v>
      </c>
      <c r="E9138" s="3">
        <f>HYPERLINK("https://sao.dolgi.msk.ru/account/1404191637/", 1404191637)</f>
        <v>1404191637</v>
      </c>
      <c r="F9138">
        <v>-1687.06</v>
      </c>
    </row>
    <row r="9139" spans="1:6" x14ac:dyDescent="0.25">
      <c r="A9139" t="s">
        <v>692</v>
      </c>
      <c r="B9139" t="s">
        <v>45</v>
      </c>
      <c r="C9139" s="5" t="str">
        <f>" кв. "&amp;B9139</f>
        <v xml:space="preserve"> кв. 41</v>
      </c>
      <c r="D9139" s="5" t="str">
        <f>CONCATENATE(A9139,C9139)</f>
        <v>Прибрежный пр., дом 1 кв. 41</v>
      </c>
      <c r="E9139" s="3">
        <f>HYPERLINK("https://sao.dolgi.msk.ru/account/1404191645/", 1404191645)</f>
        <v>1404191645</v>
      </c>
      <c r="F9139">
        <v>616.78</v>
      </c>
    </row>
    <row r="9140" spans="1:6" hidden="1" x14ac:dyDescent="0.25">
      <c r="A9140" t="s">
        <v>692</v>
      </c>
      <c r="B9140" t="s">
        <v>46</v>
      </c>
      <c r="E9140" s="3">
        <f>HYPERLINK("https://sao.dolgi.msk.ru/account/1404191864/", 1404191864)</f>
        <v>1404191864</v>
      </c>
      <c r="F9140">
        <v>-2398.86</v>
      </c>
    </row>
    <row r="9141" spans="1:6" hidden="1" x14ac:dyDescent="0.25">
      <c r="A9141" t="s">
        <v>692</v>
      </c>
      <c r="B9141" t="s">
        <v>47</v>
      </c>
      <c r="E9141" s="3">
        <f>HYPERLINK("https://sao.dolgi.msk.ru/account/1404191143/", 1404191143)</f>
        <v>1404191143</v>
      </c>
      <c r="F9141">
        <v>-2104</v>
      </c>
    </row>
    <row r="9142" spans="1:6" hidden="1" x14ac:dyDescent="0.25">
      <c r="A9142" t="s">
        <v>692</v>
      </c>
      <c r="B9142" t="s">
        <v>48</v>
      </c>
      <c r="E9142" s="3">
        <f>HYPERLINK("https://sao.dolgi.msk.ru/account/1404190714/", 1404190714)</f>
        <v>1404190714</v>
      </c>
      <c r="F9142">
        <v>-1375.46</v>
      </c>
    </row>
    <row r="9143" spans="1:6" hidden="1" x14ac:dyDescent="0.25">
      <c r="A9143" t="s">
        <v>692</v>
      </c>
      <c r="B9143" t="s">
        <v>49</v>
      </c>
      <c r="E9143" s="3">
        <f>HYPERLINK("https://sao.dolgi.msk.ru/account/1404191151/", 1404191151)</f>
        <v>1404191151</v>
      </c>
      <c r="F9143">
        <v>-1622.35</v>
      </c>
    </row>
    <row r="9144" spans="1:6" hidden="1" x14ac:dyDescent="0.25">
      <c r="A9144" t="s">
        <v>692</v>
      </c>
      <c r="B9144" t="s">
        <v>50</v>
      </c>
      <c r="E9144" s="3">
        <f>HYPERLINK("https://sao.dolgi.msk.ru/account/1404191178/", 1404191178)</f>
        <v>1404191178</v>
      </c>
      <c r="F9144">
        <v>-2380.37</v>
      </c>
    </row>
    <row r="9145" spans="1:6" hidden="1" x14ac:dyDescent="0.25">
      <c r="A9145" t="s">
        <v>692</v>
      </c>
      <c r="B9145" t="s">
        <v>51</v>
      </c>
      <c r="E9145" s="3">
        <f>HYPERLINK("https://sao.dolgi.msk.ru/account/1404191338/", 1404191338)</f>
        <v>1404191338</v>
      </c>
      <c r="F9145">
        <v>0</v>
      </c>
    </row>
    <row r="9146" spans="1:6" hidden="1" x14ac:dyDescent="0.25">
      <c r="A9146" t="s">
        <v>692</v>
      </c>
      <c r="B9146" t="s">
        <v>52</v>
      </c>
      <c r="E9146" s="3">
        <f>HYPERLINK("https://sao.dolgi.msk.ru/account/1404191653/", 1404191653)</f>
        <v>1404191653</v>
      </c>
      <c r="F9146">
        <v>-1464.81</v>
      </c>
    </row>
    <row r="9147" spans="1:6" x14ac:dyDescent="0.25">
      <c r="A9147" t="s">
        <v>692</v>
      </c>
      <c r="B9147" t="s">
        <v>53</v>
      </c>
      <c r="C9147" s="5" t="str">
        <f t="shared" ref="C9147:C9149" si="399">" кв. "&amp;B9147</f>
        <v xml:space="preserve"> кв. 49</v>
      </c>
      <c r="D9147" s="5" t="str">
        <f>CONCATENATE(A9147,C9147)</f>
        <v>Прибрежный пр., дом 1 кв. 49</v>
      </c>
      <c r="E9147" s="3">
        <f>HYPERLINK("https://sao.dolgi.msk.ru/account/1404190933/", 1404190933)</f>
        <v>1404190933</v>
      </c>
      <c r="F9147">
        <v>1138.68</v>
      </c>
    </row>
    <row r="9148" spans="1:6" x14ac:dyDescent="0.25">
      <c r="A9148" t="s">
        <v>692</v>
      </c>
      <c r="B9148" t="s">
        <v>54</v>
      </c>
      <c r="C9148" s="5" t="str">
        <f t="shared" si="399"/>
        <v xml:space="preserve"> кв. 50</v>
      </c>
      <c r="D9148" s="5" t="str">
        <f>CONCATENATE(A9148,C9148)</f>
        <v>Прибрежный пр., дом 1 кв. 50</v>
      </c>
      <c r="E9148" s="3">
        <f>HYPERLINK("https://sao.dolgi.msk.ru/account/1404191661/", 1404191661)</f>
        <v>1404191661</v>
      </c>
      <c r="F9148">
        <v>1641.6</v>
      </c>
    </row>
    <row r="9149" spans="1:6" x14ac:dyDescent="0.25">
      <c r="A9149" t="s">
        <v>692</v>
      </c>
      <c r="B9149" t="s">
        <v>55</v>
      </c>
      <c r="C9149" s="5" t="str">
        <f t="shared" si="399"/>
        <v xml:space="preserve"> кв. 51</v>
      </c>
      <c r="D9149" s="5" t="str">
        <f>CONCATENATE(A9149,C9149)</f>
        <v>Прибрежный пр., дом 1 кв. 51</v>
      </c>
      <c r="E9149" s="3">
        <f>HYPERLINK("https://sao.dolgi.msk.ru/account/1404191186/", 1404191186)</f>
        <v>1404191186</v>
      </c>
      <c r="F9149">
        <v>2049.62</v>
      </c>
    </row>
    <row r="9150" spans="1:6" hidden="1" x14ac:dyDescent="0.25">
      <c r="A9150" t="s">
        <v>692</v>
      </c>
      <c r="B9150" t="s">
        <v>56</v>
      </c>
      <c r="E9150" s="3">
        <f>HYPERLINK("https://sao.dolgi.msk.ru/account/1404191194/", 1404191194)</f>
        <v>1404191194</v>
      </c>
      <c r="F9150">
        <v>-2431.1999999999998</v>
      </c>
    </row>
    <row r="9151" spans="1:6" hidden="1" x14ac:dyDescent="0.25">
      <c r="A9151" t="s">
        <v>692</v>
      </c>
      <c r="B9151" t="s">
        <v>57</v>
      </c>
      <c r="E9151" s="3">
        <f>HYPERLINK("https://sao.dolgi.msk.ru/account/1404191928/", 1404191928)</f>
        <v>1404191928</v>
      </c>
      <c r="F9151">
        <v>-1654.69</v>
      </c>
    </row>
    <row r="9152" spans="1:6" hidden="1" x14ac:dyDescent="0.25">
      <c r="A9152" t="s">
        <v>692</v>
      </c>
      <c r="B9152" t="s">
        <v>58</v>
      </c>
      <c r="E9152" s="3">
        <f>HYPERLINK("https://sao.dolgi.msk.ru/account/1404190562/", 1404190562)</f>
        <v>1404190562</v>
      </c>
      <c r="F9152">
        <v>-1494.43</v>
      </c>
    </row>
    <row r="9153" spans="1:6" x14ac:dyDescent="0.25">
      <c r="A9153" t="s">
        <v>692</v>
      </c>
      <c r="B9153" t="s">
        <v>59</v>
      </c>
      <c r="C9153" s="5" t="str">
        <f>" кв. "&amp;B9153</f>
        <v xml:space="preserve"> кв. 55</v>
      </c>
      <c r="D9153" s="5" t="str">
        <f>CONCATENATE(A9153,C9153)</f>
        <v>Прибрежный пр., дом 1 кв. 55</v>
      </c>
      <c r="E9153" s="3">
        <f>HYPERLINK("https://sao.dolgi.msk.ru/account/1404190984/", 1404190984)</f>
        <v>1404190984</v>
      </c>
      <c r="F9153">
        <v>1148.17</v>
      </c>
    </row>
    <row r="9154" spans="1:6" hidden="1" x14ac:dyDescent="0.25">
      <c r="A9154" t="s">
        <v>692</v>
      </c>
      <c r="B9154" t="s">
        <v>60</v>
      </c>
      <c r="E9154" s="3">
        <f>HYPERLINK("https://sao.dolgi.msk.ru/account/1404191362/", 1404191362)</f>
        <v>1404191362</v>
      </c>
      <c r="F9154">
        <v>-1705.55</v>
      </c>
    </row>
    <row r="9155" spans="1:6" hidden="1" x14ac:dyDescent="0.25">
      <c r="A9155" t="s">
        <v>692</v>
      </c>
      <c r="B9155" t="s">
        <v>61</v>
      </c>
      <c r="E9155" s="3">
        <f>HYPERLINK("https://sao.dolgi.msk.ru/account/1404190589/", 1404190589)</f>
        <v>1404190589</v>
      </c>
      <c r="F9155">
        <v>-1663.94</v>
      </c>
    </row>
    <row r="9156" spans="1:6" hidden="1" x14ac:dyDescent="0.25">
      <c r="A9156" t="s">
        <v>692</v>
      </c>
      <c r="B9156" t="s">
        <v>62</v>
      </c>
      <c r="E9156" s="3">
        <f>HYPERLINK("https://sao.dolgi.msk.ru/account/1404191389/", 1404191389)</f>
        <v>1404191389</v>
      </c>
      <c r="F9156">
        <v>-2421.9699999999998</v>
      </c>
    </row>
    <row r="9157" spans="1:6" x14ac:dyDescent="0.25">
      <c r="A9157" t="s">
        <v>692</v>
      </c>
      <c r="B9157" t="s">
        <v>63</v>
      </c>
      <c r="C9157" s="5" t="str">
        <f>" кв. "&amp;B9157</f>
        <v xml:space="preserve"> кв. 59</v>
      </c>
      <c r="D9157" s="5" t="str">
        <f>CONCATENATE(A9157,C9157)</f>
        <v>Прибрежный пр., дом 1 кв. 59</v>
      </c>
      <c r="E9157" s="3">
        <f>HYPERLINK("https://sao.dolgi.msk.ru/account/1404190597/", 1404190597)</f>
        <v>1404190597</v>
      </c>
      <c r="F9157">
        <v>2078.09</v>
      </c>
    </row>
    <row r="9158" spans="1:6" hidden="1" x14ac:dyDescent="0.25">
      <c r="A9158" t="s">
        <v>692</v>
      </c>
      <c r="B9158" t="s">
        <v>64</v>
      </c>
      <c r="E9158" s="3">
        <f>HYPERLINK("https://sao.dolgi.msk.ru/account/1404191725/", 1404191725)</f>
        <v>1404191725</v>
      </c>
      <c r="F9158">
        <v>-2454.31</v>
      </c>
    </row>
    <row r="9159" spans="1:6" hidden="1" x14ac:dyDescent="0.25">
      <c r="A9159" t="s">
        <v>692</v>
      </c>
      <c r="B9159" t="s">
        <v>65</v>
      </c>
      <c r="E9159" s="3">
        <f>HYPERLINK("https://sao.dolgi.msk.ru/account/1404191397/", 1404191397)</f>
        <v>1404191397</v>
      </c>
      <c r="F9159">
        <v>-1687.06</v>
      </c>
    </row>
    <row r="9160" spans="1:6" hidden="1" x14ac:dyDescent="0.25">
      <c r="A9160" t="s">
        <v>692</v>
      </c>
      <c r="B9160" t="s">
        <v>66</v>
      </c>
      <c r="E9160" s="3">
        <f>HYPERLINK("https://sao.dolgi.msk.ru/account/1404191231/", 1404191231)</f>
        <v>1404191231</v>
      </c>
      <c r="F9160">
        <v>-2417.35</v>
      </c>
    </row>
    <row r="9161" spans="1:6" hidden="1" x14ac:dyDescent="0.25">
      <c r="A9161" t="s">
        <v>692</v>
      </c>
      <c r="B9161" t="s">
        <v>67</v>
      </c>
      <c r="E9161" s="3">
        <f>HYPERLINK("https://sao.dolgi.msk.ru/account/1404191733/", 1404191733)</f>
        <v>1404191733</v>
      </c>
      <c r="F9161">
        <v>-1398.17</v>
      </c>
    </row>
    <row r="9162" spans="1:6" hidden="1" x14ac:dyDescent="0.25">
      <c r="A9162" t="s">
        <v>692</v>
      </c>
      <c r="B9162" t="s">
        <v>68</v>
      </c>
      <c r="E9162" s="3">
        <f>HYPERLINK("https://sao.dolgi.msk.ru/account/1404190626/", 1404190626)</f>
        <v>1404190626</v>
      </c>
      <c r="F9162">
        <v>-539.86</v>
      </c>
    </row>
    <row r="9163" spans="1:6" x14ac:dyDescent="0.25">
      <c r="A9163" t="s">
        <v>692</v>
      </c>
      <c r="B9163" t="s">
        <v>69</v>
      </c>
      <c r="C9163" s="5" t="str">
        <f>" кв. "&amp;B9163</f>
        <v xml:space="preserve"> кв. 65</v>
      </c>
      <c r="D9163" s="5" t="str">
        <f>CONCATENATE(A9163,C9163)</f>
        <v>Прибрежный пр., дом 1 кв. 65</v>
      </c>
      <c r="E9163" s="3">
        <f>HYPERLINK("https://sao.dolgi.msk.ru/account/1404191258/", 1404191258)</f>
        <v>1404191258</v>
      </c>
      <c r="F9163">
        <v>1126.03</v>
      </c>
    </row>
    <row r="9164" spans="1:6" hidden="1" x14ac:dyDescent="0.25">
      <c r="A9164" t="s">
        <v>692</v>
      </c>
      <c r="B9164" t="s">
        <v>70</v>
      </c>
      <c r="E9164" s="3">
        <f>HYPERLINK("https://sao.dolgi.msk.ru/account/1404190757/", 1404190757)</f>
        <v>1404190757</v>
      </c>
      <c r="F9164">
        <v>-1132.3499999999999</v>
      </c>
    </row>
    <row r="9165" spans="1:6" hidden="1" x14ac:dyDescent="0.25">
      <c r="A9165" t="s">
        <v>692</v>
      </c>
      <c r="B9165" t="s">
        <v>71</v>
      </c>
      <c r="E9165" s="3">
        <f>HYPERLINK("https://sao.dolgi.msk.ru/account/1404190634/", 1404190634)</f>
        <v>1404190634</v>
      </c>
      <c r="F9165">
        <v>-4601.16</v>
      </c>
    </row>
    <row r="9166" spans="1:6" hidden="1" x14ac:dyDescent="0.25">
      <c r="A9166" t="s">
        <v>692</v>
      </c>
      <c r="B9166" t="s">
        <v>72</v>
      </c>
      <c r="E9166" s="3">
        <f>HYPERLINK("https://sao.dolgi.msk.ru/account/1404191936/", 1404191936)</f>
        <v>1404191936</v>
      </c>
      <c r="F9166">
        <v>-1575.68</v>
      </c>
    </row>
    <row r="9167" spans="1:6" x14ac:dyDescent="0.25">
      <c r="A9167" t="s">
        <v>692</v>
      </c>
      <c r="B9167" t="s">
        <v>73</v>
      </c>
      <c r="C9167" s="5" t="str">
        <f>" кв. "&amp;B9167</f>
        <v xml:space="preserve"> кв. 69</v>
      </c>
      <c r="D9167" s="5" t="str">
        <f>CONCATENATE(A9167,C9167)</f>
        <v>Прибрежный пр., дом 1 кв. 69</v>
      </c>
      <c r="E9167" s="3">
        <f>HYPERLINK("https://sao.dolgi.msk.ru/account/1404191266/", 1404191266)</f>
        <v>1404191266</v>
      </c>
      <c r="F9167">
        <v>1138.68</v>
      </c>
    </row>
    <row r="9168" spans="1:6" hidden="1" x14ac:dyDescent="0.25">
      <c r="A9168" t="s">
        <v>692</v>
      </c>
      <c r="B9168" t="s">
        <v>74</v>
      </c>
      <c r="E9168" s="3">
        <f>HYPERLINK("https://sao.dolgi.msk.ru/account/1404191944/", 1404191944)</f>
        <v>1404191944</v>
      </c>
      <c r="F9168">
        <v>0</v>
      </c>
    </row>
    <row r="9169" spans="1:6" hidden="1" x14ac:dyDescent="0.25">
      <c r="A9169" t="s">
        <v>692</v>
      </c>
      <c r="B9169" t="s">
        <v>75</v>
      </c>
      <c r="E9169" s="3">
        <f>HYPERLINK("https://sao.dolgi.msk.ru/account/1404191514/", 1404191514)</f>
        <v>1404191514</v>
      </c>
      <c r="F9169">
        <v>-1691.68</v>
      </c>
    </row>
    <row r="9170" spans="1:6" hidden="1" x14ac:dyDescent="0.25">
      <c r="A9170" t="s">
        <v>692</v>
      </c>
      <c r="B9170" t="s">
        <v>76</v>
      </c>
      <c r="E9170" s="3">
        <f>HYPERLINK("https://sao.dolgi.msk.ru/account/1404191952/", 1404191952)</f>
        <v>1404191952</v>
      </c>
      <c r="F9170">
        <v>-1700.92</v>
      </c>
    </row>
    <row r="9171" spans="1:6" hidden="1" x14ac:dyDescent="0.25">
      <c r="A9171" t="s">
        <v>692</v>
      </c>
      <c r="B9171" t="s">
        <v>77</v>
      </c>
      <c r="E9171" s="3">
        <f>HYPERLINK("https://sao.dolgi.msk.ru/account/1404190642/", 1404190642)</f>
        <v>1404190642</v>
      </c>
      <c r="F9171">
        <v>-1659.32</v>
      </c>
    </row>
    <row r="9172" spans="1:6" hidden="1" x14ac:dyDescent="0.25">
      <c r="A9172" t="s">
        <v>692</v>
      </c>
      <c r="B9172" t="s">
        <v>78</v>
      </c>
      <c r="E9172" s="3">
        <f>HYPERLINK("https://sao.dolgi.msk.ru/account/1404190669/", 1404190669)</f>
        <v>1404190669</v>
      </c>
      <c r="F9172">
        <v>-1502.22</v>
      </c>
    </row>
    <row r="9173" spans="1:6" x14ac:dyDescent="0.25">
      <c r="A9173" t="s">
        <v>692</v>
      </c>
      <c r="B9173" t="s">
        <v>79</v>
      </c>
      <c r="C9173" s="5" t="str">
        <f t="shared" ref="C9173:C9176" si="400">" кв. "&amp;B9173</f>
        <v xml:space="preserve"> кв. 75</v>
      </c>
      <c r="D9173" s="5" t="str">
        <f>CONCATENATE(A9173,C9173)</f>
        <v>Прибрежный пр., дом 1 кв. 75</v>
      </c>
      <c r="E9173" s="3">
        <f>HYPERLINK("https://sao.dolgi.msk.ru/account/1404191979/", 1404191979)</f>
        <v>1404191979</v>
      </c>
      <c r="F9173">
        <v>1201.94</v>
      </c>
    </row>
    <row r="9174" spans="1:6" x14ac:dyDescent="0.25">
      <c r="A9174" t="s">
        <v>692</v>
      </c>
      <c r="B9174" t="s">
        <v>80</v>
      </c>
      <c r="C9174" s="5" t="str">
        <f t="shared" si="400"/>
        <v xml:space="preserve"> кв. 76</v>
      </c>
      <c r="D9174" s="5" t="str">
        <f>CONCATENATE(A9174,C9174)</f>
        <v>Прибрежный пр., дом 1 кв. 76</v>
      </c>
      <c r="E9174" s="3">
        <f>HYPERLINK("https://sao.dolgi.msk.ru/account/1404190466/", 1404190466)</f>
        <v>1404190466</v>
      </c>
      <c r="F9174">
        <v>593.59</v>
      </c>
    </row>
    <row r="9175" spans="1:6" x14ac:dyDescent="0.25">
      <c r="A9175" t="s">
        <v>692</v>
      </c>
      <c r="B9175" t="s">
        <v>80</v>
      </c>
      <c r="C9175" s="5" t="str">
        <f t="shared" si="400"/>
        <v xml:space="preserve"> кв. 76</v>
      </c>
      <c r="D9175" s="5" t="str">
        <f>CONCATENATE(A9175,C9175)</f>
        <v>Прибрежный пр., дом 1 кв. 76</v>
      </c>
      <c r="E9175" s="3">
        <f>HYPERLINK("https://sao.dolgi.msk.ru/account/1404191901/", 1404191901)</f>
        <v>1404191901</v>
      </c>
      <c r="F9175">
        <v>557.74</v>
      </c>
    </row>
    <row r="9176" spans="1:6" x14ac:dyDescent="0.25">
      <c r="A9176" t="s">
        <v>692</v>
      </c>
      <c r="B9176" t="s">
        <v>81</v>
      </c>
      <c r="C9176" s="5" t="str">
        <f t="shared" si="400"/>
        <v xml:space="preserve"> кв. 77</v>
      </c>
      <c r="D9176" s="5" t="str">
        <f>CONCATENATE(A9176,C9176)</f>
        <v>Прибрежный пр., дом 1 кв. 77</v>
      </c>
      <c r="E9176" s="3">
        <f>HYPERLINK("https://sao.dolgi.msk.ru/account/1404190861/", 1404190861)</f>
        <v>1404190861</v>
      </c>
      <c r="F9176">
        <v>1135.52</v>
      </c>
    </row>
    <row r="9177" spans="1:6" hidden="1" x14ac:dyDescent="0.25">
      <c r="A9177" t="s">
        <v>692</v>
      </c>
      <c r="B9177" t="s">
        <v>82</v>
      </c>
      <c r="E9177" s="3">
        <f>HYPERLINK("https://sao.dolgi.msk.ru/account/1404191629/", 1404191629)</f>
        <v>1404191629</v>
      </c>
      <c r="F9177">
        <v>-1645.46</v>
      </c>
    </row>
    <row r="9178" spans="1:6" hidden="1" x14ac:dyDescent="0.25">
      <c r="A9178" t="s">
        <v>692</v>
      </c>
      <c r="B9178" t="s">
        <v>83</v>
      </c>
      <c r="E9178" s="3">
        <f>HYPERLINK("https://sao.dolgi.msk.ru/account/1404191055/", 1404191055)</f>
        <v>1404191055</v>
      </c>
      <c r="F9178">
        <v>-1196.31</v>
      </c>
    </row>
    <row r="9179" spans="1:6" hidden="1" x14ac:dyDescent="0.25">
      <c r="A9179" t="s">
        <v>692</v>
      </c>
      <c r="B9179" t="s">
        <v>84</v>
      </c>
      <c r="E9179" s="3">
        <f>HYPERLINK("https://sao.dolgi.msk.ru/account/1404191303/", 1404191303)</f>
        <v>1404191303</v>
      </c>
      <c r="F9179">
        <v>-1705.55</v>
      </c>
    </row>
    <row r="9180" spans="1:6" hidden="1" x14ac:dyDescent="0.25">
      <c r="A9180" t="s">
        <v>692</v>
      </c>
      <c r="B9180" t="s">
        <v>85</v>
      </c>
      <c r="E9180" s="3">
        <f>HYPERLINK("https://sao.dolgi.msk.ru/account/1404191848/", 1404191848)</f>
        <v>1404191848</v>
      </c>
      <c r="F9180">
        <v>-1654.69</v>
      </c>
    </row>
    <row r="9181" spans="1:6" hidden="1" x14ac:dyDescent="0.25">
      <c r="A9181" t="s">
        <v>692</v>
      </c>
      <c r="B9181" t="s">
        <v>86</v>
      </c>
      <c r="E9181" s="3">
        <f>HYPERLINK("https://sao.dolgi.msk.ru/account/1404191063/", 1404191063)</f>
        <v>1404191063</v>
      </c>
      <c r="F9181">
        <v>-1659.33</v>
      </c>
    </row>
    <row r="9182" spans="1:6" hidden="1" x14ac:dyDescent="0.25">
      <c r="A9182" t="s">
        <v>692</v>
      </c>
      <c r="B9182" t="s">
        <v>87</v>
      </c>
      <c r="E9182" s="3">
        <f>HYPERLINK("https://sao.dolgi.msk.ru/account/1404191477/", 1404191477)</f>
        <v>1404191477</v>
      </c>
      <c r="F9182">
        <v>-2535.62</v>
      </c>
    </row>
    <row r="9183" spans="1:6" x14ac:dyDescent="0.25">
      <c r="A9183" t="s">
        <v>692</v>
      </c>
      <c r="B9183" t="s">
        <v>88</v>
      </c>
      <c r="C9183" s="5" t="str">
        <f>" кв. "&amp;B9183</f>
        <v xml:space="preserve"> кв. 84</v>
      </c>
      <c r="D9183" s="5" t="str">
        <f>CONCATENATE(A9183,C9183)</f>
        <v>Прибрежный пр., дом 1 кв. 84</v>
      </c>
      <c r="E9183" s="3">
        <f>HYPERLINK("https://sao.dolgi.msk.ru/account/1404191071/", 1404191071)</f>
        <v>1404191071</v>
      </c>
      <c r="F9183">
        <v>1673.23</v>
      </c>
    </row>
    <row r="9184" spans="1:6" hidden="1" x14ac:dyDescent="0.25">
      <c r="A9184" t="s">
        <v>692</v>
      </c>
      <c r="B9184" t="s">
        <v>89</v>
      </c>
      <c r="E9184" s="3">
        <f>HYPERLINK("https://sao.dolgi.msk.ru/account/1404190888/", 1404190888)</f>
        <v>1404190888</v>
      </c>
      <c r="F9184">
        <v>0</v>
      </c>
    </row>
    <row r="9185" spans="1:6" hidden="1" x14ac:dyDescent="0.25">
      <c r="A9185" t="s">
        <v>692</v>
      </c>
      <c r="B9185" t="s">
        <v>90</v>
      </c>
      <c r="E9185" s="3">
        <f>HYPERLINK("https://sao.dolgi.msk.ru/account/1404190474/", 1404190474)</f>
        <v>1404190474</v>
      </c>
      <c r="F9185">
        <v>0</v>
      </c>
    </row>
    <row r="9186" spans="1:6" hidden="1" x14ac:dyDescent="0.25">
      <c r="A9186" t="s">
        <v>692</v>
      </c>
      <c r="B9186" t="s">
        <v>91</v>
      </c>
      <c r="E9186" s="3">
        <f>HYPERLINK("https://sao.dolgi.msk.ru/account/1404190896/", 1404190896)</f>
        <v>1404190896</v>
      </c>
      <c r="F9186">
        <v>-1687.06</v>
      </c>
    </row>
    <row r="9187" spans="1:6" hidden="1" x14ac:dyDescent="0.25">
      <c r="A9187" t="s">
        <v>692</v>
      </c>
      <c r="B9187" t="s">
        <v>92</v>
      </c>
      <c r="E9187" s="3">
        <f>HYPERLINK("https://sao.dolgi.msk.ru/account/1404191856/", 1404191856)</f>
        <v>1404191856</v>
      </c>
      <c r="F9187">
        <v>-1710.17</v>
      </c>
    </row>
    <row r="9188" spans="1:6" hidden="1" x14ac:dyDescent="0.25">
      <c r="A9188" t="s">
        <v>692</v>
      </c>
      <c r="B9188" t="s">
        <v>93</v>
      </c>
      <c r="E9188" s="3">
        <f>HYPERLINK("https://sao.dolgi.msk.ru/account/1404191688/", 1404191688)</f>
        <v>1404191688</v>
      </c>
      <c r="F9188">
        <v>-1654.69</v>
      </c>
    </row>
    <row r="9189" spans="1:6" hidden="1" x14ac:dyDescent="0.25">
      <c r="A9189" t="s">
        <v>692</v>
      </c>
      <c r="B9189" t="s">
        <v>94</v>
      </c>
      <c r="E9189" s="3">
        <f>HYPERLINK("https://sao.dolgi.msk.ru/account/1404190503/", 1404190503)</f>
        <v>1404190503</v>
      </c>
      <c r="F9189">
        <v>0</v>
      </c>
    </row>
    <row r="9190" spans="1:6" hidden="1" x14ac:dyDescent="0.25">
      <c r="A9190" t="s">
        <v>692</v>
      </c>
      <c r="B9190" t="s">
        <v>95</v>
      </c>
      <c r="E9190" s="3">
        <f>HYPERLINK("https://sao.dolgi.msk.ru/account/1404191522/", 1404191522)</f>
        <v>1404191522</v>
      </c>
      <c r="F9190">
        <v>-3027.45</v>
      </c>
    </row>
    <row r="9191" spans="1:6" hidden="1" x14ac:dyDescent="0.25">
      <c r="A9191" t="s">
        <v>692</v>
      </c>
      <c r="B9191" t="s">
        <v>96</v>
      </c>
      <c r="E9191" s="3">
        <f>HYPERLINK("https://sao.dolgi.msk.ru/account/1404190511/", 1404190511)</f>
        <v>1404190511</v>
      </c>
      <c r="F9191">
        <v>0</v>
      </c>
    </row>
    <row r="9192" spans="1:6" hidden="1" x14ac:dyDescent="0.25">
      <c r="A9192" t="s">
        <v>692</v>
      </c>
      <c r="B9192" t="s">
        <v>97</v>
      </c>
      <c r="E9192" s="3">
        <f>HYPERLINK("https://sao.dolgi.msk.ru/account/1404191493/", 1404191493)</f>
        <v>1404191493</v>
      </c>
      <c r="F9192">
        <v>0</v>
      </c>
    </row>
    <row r="9193" spans="1:6" hidden="1" x14ac:dyDescent="0.25">
      <c r="A9193" t="s">
        <v>692</v>
      </c>
      <c r="B9193" t="s">
        <v>98</v>
      </c>
      <c r="E9193" s="3">
        <f>HYPERLINK("https://sao.dolgi.msk.ru/account/1404191346/", 1404191346)</f>
        <v>1404191346</v>
      </c>
      <c r="F9193">
        <v>-2016.33</v>
      </c>
    </row>
    <row r="9194" spans="1:6" hidden="1" x14ac:dyDescent="0.25">
      <c r="A9194" t="s">
        <v>692</v>
      </c>
      <c r="B9194" t="s">
        <v>99</v>
      </c>
      <c r="E9194" s="3">
        <f>HYPERLINK("https://sao.dolgi.msk.ru/account/1404190538/", 1404190538)</f>
        <v>1404190538</v>
      </c>
      <c r="F9194">
        <v>0</v>
      </c>
    </row>
    <row r="9195" spans="1:6" hidden="1" x14ac:dyDescent="0.25">
      <c r="A9195" t="s">
        <v>692</v>
      </c>
      <c r="B9195" t="s">
        <v>100</v>
      </c>
      <c r="E9195" s="3">
        <f>HYPERLINK("https://sao.dolgi.msk.ru/account/1404190722/", 1404190722)</f>
        <v>1404190722</v>
      </c>
      <c r="F9195">
        <v>0</v>
      </c>
    </row>
    <row r="9196" spans="1:6" hidden="1" x14ac:dyDescent="0.25">
      <c r="A9196" t="s">
        <v>692</v>
      </c>
      <c r="B9196" t="s">
        <v>101</v>
      </c>
      <c r="E9196" s="3">
        <f>HYPERLINK("https://sao.dolgi.msk.ru/account/1404191709/", 1404191709)</f>
        <v>1404191709</v>
      </c>
      <c r="F9196">
        <v>-1650.07</v>
      </c>
    </row>
    <row r="9197" spans="1:6" x14ac:dyDescent="0.25">
      <c r="A9197" t="s">
        <v>692</v>
      </c>
      <c r="B9197" t="s">
        <v>102</v>
      </c>
      <c r="C9197" s="5" t="str">
        <f t="shared" ref="C9197:C9198" si="401">" кв. "&amp;B9197</f>
        <v xml:space="preserve"> кв. 98</v>
      </c>
      <c r="D9197" s="5" t="str">
        <f>CONCATENATE(A9197,C9197)</f>
        <v>Прибрежный пр., дом 1 кв. 98</v>
      </c>
      <c r="E9197" s="3">
        <f>HYPERLINK("https://sao.dolgi.msk.ru/account/1404190941/", 1404190941)</f>
        <v>1404190941</v>
      </c>
      <c r="F9197">
        <v>836.62</v>
      </c>
    </row>
    <row r="9198" spans="1:6" x14ac:dyDescent="0.25">
      <c r="A9198" t="s">
        <v>692</v>
      </c>
      <c r="B9198" t="s">
        <v>103</v>
      </c>
      <c r="C9198" s="5" t="str">
        <f t="shared" si="401"/>
        <v xml:space="preserve"> кв. 99</v>
      </c>
      <c r="D9198" s="5" t="str">
        <f>CONCATENATE(A9198,C9198)</f>
        <v>Прибрежный пр., дом 1 кв. 99</v>
      </c>
      <c r="E9198" s="3">
        <f>HYPERLINK("https://sao.dolgi.msk.ru/account/1404190968/", 1404190968)</f>
        <v>1404190968</v>
      </c>
      <c r="F9198">
        <v>2087.58</v>
      </c>
    </row>
    <row r="9199" spans="1:6" hidden="1" x14ac:dyDescent="0.25">
      <c r="A9199" t="s">
        <v>692</v>
      </c>
      <c r="B9199" t="s">
        <v>104</v>
      </c>
      <c r="E9199" s="3">
        <f>HYPERLINK("https://sao.dolgi.msk.ru/account/1404190976/", 1404190976)</f>
        <v>1404190976</v>
      </c>
      <c r="F9199">
        <v>-2078.6</v>
      </c>
    </row>
    <row r="9200" spans="1:6" hidden="1" x14ac:dyDescent="0.25">
      <c r="A9200" t="s">
        <v>692</v>
      </c>
      <c r="B9200" t="s">
        <v>105</v>
      </c>
      <c r="E9200" s="3">
        <f>HYPERLINK("https://sao.dolgi.msk.ru/account/1404191215/", 1404191215)</f>
        <v>1404191215</v>
      </c>
      <c r="F9200">
        <v>0</v>
      </c>
    </row>
    <row r="9201" spans="1:6" hidden="1" x14ac:dyDescent="0.25">
      <c r="A9201" t="s">
        <v>692</v>
      </c>
      <c r="B9201" t="s">
        <v>106</v>
      </c>
      <c r="E9201" s="3">
        <f>HYPERLINK("https://sao.dolgi.msk.ru/account/1404191418/", 1404191418)</f>
        <v>1404191418</v>
      </c>
      <c r="F9201">
        <v>-1331.23</v>
      </c>
    </row>
    <row r="9202" spans="1:6" x14ac:dyDescent="0.25">
      <c r="A9202" t="s">
        <v>692</v>
      </c>
      <c r="B9202" t="s">
        <v>107</v>
      </c>
      <c r="C9202" s="5" t="str">
        <f t="shared" ref="C9202:C9204" si="402">" кв. "&amp;B9202</f>
        <v xml:space="preserve"> кв. 103</v>
      </c>
      <c r="D9202" s="5" t="str">
        <f>CONCATENATE(A9202,C9202)</f>
        <v>Прибрежный пр., дом 1 кв. 103</v>
      </c>
      <c r="E9202" s="3">
        <f>HYPERLINK("https://sao.dolgi.msk.ru/account/1404190482/", 1404190482)</f>
        <v>1404190482</v>
      </c>
      <c r="F9202">
        <v>1151.33</v>
      </c>
    </row>
    <row r="9203" spans="1:6" x14ac:dyDescent="0.25">
      <c r="A9203" t="s">
        <v>692</v>
      </c>
      <c r="B9203" t="s">
        <v>108</v>
      </c>
      <c r="C9203" s="5" t="str">
        <f t="shared" si="402"/>
        <v xml:space="preserve"> кв. 104</v>
      </c>
      <c r="D9203" s="5" t="str">
        <f>CONCATENATE(A9203,C9203)</f>
        <v>Прибрежный пр., дом 1 кв. 104</v>
      </c>
      <c r="E9203" s="3">
        <f>HYPERLINK("https://sao.dolgi.msk.ru/account/1404191987/", 1404191987)</f>
        <v>1404191987</v>
      </c>
      <c r="F9203">
        <v>1163.98</v>
      </c>
    </row>
    <row r="9204" spans="1:6" x14ac:dyDescent="0.25">
      <c r="A9204" t="s">
        <v>692</v>
      </c>
      <c r="B9204" t="s">
        <v>109</v>
      </c>
      <c r="C9204" s="5" t="str">
        <f t="shared" si="402"/>
        <v xml:space="preserve"> кв. 105</v>
      </c>
      <c r="D9204" s="5" t="str">
        <f>CONCATENATE(A9204,C9204)</f>
        <v>Прибрежный пр., дом 1 кв. 105</v>
      </c>
      <c r="E9204" s="3">
        <f>HYPERLINK("https://sao.dolgi.msk.ru/account/1404191581/", 1404191581)</f>
        <v>1404191581</v>
      </c>
      <c r="F9204">
        <v>1138.68</v>
      </c>
    </row>
    <row r="9205" spans="1:6" hidden="1" x14ac:dyDescent="0.25">
      <c r="A9205" t="s">
        <v>692</v>
      </c>
      <c r="B9205" t="s">
        <v>110</v>
      </c>
      <c r="E9205" s="3">
        <f>HYPERLINK("https://sao.dolgi.msk.ru/account/1404190992/", 1404190992)</f>
        <v>1404190992</v>
      </c>
      <c r="F9205">
        <v>-2408.1</v>
      </c>
    </row>
    <row r="9206" spans="1:6" hidden="1" x14ac:dyDescent="0.25">
      <c r="A9206" t="s">
        <v>692</v>
      </c>
      <c r="B9206" t="s">
        <v>111</v>
      </c>
      <c r="E9206" s="3">
        <f>HYPERLINK("https://sao.dolgi.msk.ru/account/1404191274/", 1404191274)</f>
        <v>1404191274</v>
      </c>
      <c r="F9206">
        <v>-717.86</v>
      </c>
    </row>
    <row r="9207" spans="1:6" hidden="1" x14ac:dyDescent="0.25">
      <c r="A9207" t="s">
        <v>692</v>
      </c>
      <c r="B9207" t="s">
        <v>112</v>
      </c>
      <c r="E9207" s="3">
        <f>HYPERLINK("https://sao.dolgi.msk.ru/account/1404191995/", 1404191995)</f>
        <v>1404191995</v>
      </c>
      <c r="F9207">
        <v>-2454.31</v>
      </c>
    </row>
    <row r="9208" spans="1:6" hidden="1" x14ac:dyDescent="0.25">
      <c r="A9208" t="s">
        <v>692</v>
      </c>
      <c r="B9208" t="s">
        <v>113</v>
      </c>
      <c r="E9208" s="3">
        <f>HYPERLINK("https://sao.dolgi.msk.ru/account/1404190677/", 1404190677)</f>
        <v>1404190677</v>
      </c>
      <c r="F9208">
        <v>0</v>
      </c>
    </row>
    <row r="9209" spans="1:6" x14ac:dyDescent="0.25">
      <c r="A9209" t="s">
        <v>692</v>
      </c>
      <c r="B9209" t="s">
        <v>114</v>
      </c>
      <c r="C9209" s="5" t="str">
        <f>" кв. "&amp;B9209</f>
        <v xml:space="preserve"> кв. 110</v>
      </c>
      <c r="D9209" s="5" t="str">
        <f>CONCATENATE(A9209,C9209)</f>
        <v>Прибрежный пр., дом 1 кв. 110</v>
      </c>
      <c r="E9209" s="3">
        <f>HYPERLINK("https://sao.dolgi.msk.ru/account/1404190685/", 1404190685)</f>
        <v>1404190685</v>
      </c>
      <c r="F9209">
        <v>1638.43</v>
      </c>
    </row>
    <row r="9210" spans="1:6" hidden="1" x14ac:dyDescent="0.25">
      <c r="A9210" t="s">
        <v>692</v>
      </c>
      <c r="B9210" t="s">
        <v>115</v>
      </c>
      <c r="E9210" s="3">
        <f>HYPERLINK("https://sao.dolgi.msk.ru/account/1404192007/", 1404192007)</f>
        <v>1404192007</v>
      </c>
      <c r="F9210">
        <v>-905.92</v>
      </c>
    </row>
    <row r="9211" spans="1:6" hidden="1" x14ac:dyDescent="0.25">
      <c r="A9211" t="s">
        <v>692</v>
      </c>
      <c r="B9211" t="s">
        <v>116</v>
      </c>
      <c r="E9211" s="3">
        <f>HYPERLINK("https://sao.dolgi.msk.ru/account/1404190773/", 1404190773)</f>
        <v>1404190773</v>
      </c>
      <c r="F9211">
        <v>-1705.55</v>
      </c>
    </row>
    <row r="9212" spans="1:6" x14ac:dyDescent="0.25">
      <c r="A9212" t="s">
        <v>692</v>
      </c>
      <c r="B9212" t="s">
        <v>117</v>
      </c>
      <c r="C9212" s="5" t="str">
        <f>" кв. "&amp;B9212</f>
        <v xml:space="preserve"> кв. 113</v>
      </c>
      <c r="D9212" s="5" t="str">
        <f>CONCATENATE(A9212,C9212)</f>
        <v>Прибрежный пр., дом 1 кв. 113</v>
      </c>
      <c r="E9212" s="3">
        <f>HYPERLINK("https://sao.dolgi.msk.ru/account/1404190693/", 1404190693)</f>
        <v>1404190693</v>
      </c>
      <c r="F9212">
        <v>1132.3499999999999</v>
      </c>
    </row>
    <row r="9213" spans="1:6" hidden="1" x14ac:dyDescent="0.25">
      <c r="A9213" t="s">
        <v>692</v>
      </c>
      <c r="B9213" t="s">
        <v>118</v>
      </c>
      <c r="E9213" s="3">
        <f>HYPERLINK("https://sao.dolgi.msk.ru/account/1404191549/", 1404191549)</f>
        <v>1404191549</v>
      </c>
      <c r="F9213">
        <v>-2412.73</v>
      </c>
    </row>
    <row r="9214" spans="1:6" hidden="1" x14ac:dyDescent="0.25">
      <c r="A9214" t="s">
        <v>692</v>
      </c>
      <c r="B9214" t="s">
        <v>119</v>
      </c>
      <c r="E9214" s="3">
        <f>HYPERLINK("https://sao.dolgi.msk.ru/account/1404191004/", 1404191004)</f>
        <v>1404191004</v>
      </c>
      <c r="F9214">
        <v>-3064.43</v>
      </c>
    </row>
    <row r="9215" spans="1:6" hidden="1" x14ac:dyDescent="0.25">
      <c r="A9215" t="s">
        <v>692</v>
      </c>
      <c r="B9215" t="s">
        <v>120</v>
      </c>
      <c r="E9215" s="3">
        <f>HYPERLINK("https://sao.dolgi.msk.ru/account/1404191776/", 1404191776)</f>
        <v>1404191776</v>
      </c>
      <c r="F9215">
        <v>-2449.69</v>
      </c>
    </row>
    <row r="9216" spans="1:6" hidden="1" x14ac:dyDescent="0.25">
      <c r="A9216" t="s">
        <v>692</v>
      </c>
      <c r="B9216" t="s">
        <v>121</v>
      </c>
      <c r="E9216" s="3">
        <f>HYPERLINK("https://sao.dolgi.msk.ru/account/1404190837/", 1404190837)</f>
        <v>1404190837</v>
      </c>
      <c r="F9216">
        <v>-1659.32</v>
      </c>
    </row>
    <row r="9217" spans="1:6" hidden="1" x14ac:dyDescent="0.25">
      <c r="A9217" t="s">
        <v>692</v>
      </c>
      <c r="B9217" t="s">
        <v>122</v>
      </c>
      <c r="E9217" s="3">
        <f>HYPERLINK("https://sao.dolgi.msk.ru/account/1404190845/", 1404190845)</f>
        <v>1404190845</v>
      </c>
      <c r="F9217">
        <v>-2384.9899999999998</v>
      </c>
    </row>
    <row r="9218" spans="1:6" hidden="1" x14ac:dyDescent="0.25">
      <c r="A9218" t="s">
        <v>692</v>
      </c>
      <c r="B9218" t="s">
        <v>123</v>
      </c>
      <c r="E9218" s="3">
        <f>HYPERLINK("https://sao.dolgi.msk.ru/account/1404191784/", 1404191784)</f>
        <v>1404191784</v>
      </c>
      <c r="F9218">
        <v>-947.53</v>
      </c>
    </row>
    <row r="9219" spans="1:6" hidden="1" x14ac:dyDescent="0.25">
      <c r="A9219" t="s">
        <v>692</v>
      </c>
      <c r="B9219" t="s">
        <v>124</v>
      </c>
      <c r="E9219" s="3">
        <f>HYPERLINK("https://sao.dolgi.msk.ru/account/1404192015/", 1404192015)</f>
        <v>1404192015</v>
      </c>
      <c r="F9219">
        <v>0</v>
      </c>
    </row>
    <row r="9220" spans="1:6" hidden="1" x14ac:dyDescent="0.25">
      <c r="A9220" t="s">
        <v>692</v>
      </c>
      <c r="B9220" t="s">
        <v>125</v>
      </c>
      <c r="E9220" s="3">
        <f>HYPERLINK("https://sao.dolgi.msk.ru/account/1404191047/", 1404191047)</f>
        <v>1404191047</v>
      </c>
      <c r="F9220">
        <v>-522.34</v>
      </c>
    </row>
    <row r="9221" spans="1:6" x14ac:dyDescent="0.25">
      <c r="A9221" t="s">
        <v>692</v>
      </c>
      <c r="B9221" t="s">
        <v>126</v>
      </c>
      <c r="C9221" s="5" t="str">
        <f>" кв. "&amp;B9221</f>
        <v xml:space="preserve"> кв. 122</v>
      </c>
      <c r="D9221" s="5" t="str">
        <f>CONCATENATE(A9221,C9221)</f>
        <v>Прибрежный пр., дом 1 кв. 122</v>
      </c>
      <c r="E9221" s="3">
        <f>HYPERLINK("https://sao.dolgi.msk.ru/account/1404191792/", 1404191792)</f>
        <v>1404191792</v>
      </c>
      <c r="F9221">
        <v>1116.53</v>
      </c>
    </row>
    <row r="9222" spans="1:6" hidden="1" x14ac:dyDescent="0.25">
      <c r="A9222" t="s">
        <v>692</v>
      </c>
      <c r="B9222" t="s">
        <v>127</v>
      </c>
      <c r="E9222" s="3">
        <f>HYPERLINK("https://sao.dolgi.msk.ru/account/1404192023/", 1404192023)</f>
        <v>1404192023</v>
      </c>
      <c r="F9222">
        <v>-2681.29</v>
      </c>
    </row>
    <row r="9223" spans="1:6" hidden="1" x14ac:dyDescent="0.25">
      <c r="A9223" t="s">
        <v>692</v>
      </c>
      <c r="B9223" t="s">
        <v>128</v>
      </c>
      <c r="E9223" s="3">
        <f>HYPERLINK("https://sao.dolgi.msk.ru/account/1404191805/", 1404191805)</f>
        <v>1404191805</v>
      </c>
      <c r="F9223">
        <v>-1556.7</v>
      </c>
    </row>
    <row r="9224" spans="1:6" hidden="1" x14ac:dyDescent="0.25">
      <c r="A9224" t="s">
        <v>692</v>
      </c>
      <c r="B9224" t="s">
        <v>129</v>
      </c>
      <c r="E9224" s="3">
        <f>HYPERLINK("https://sao.dolgi.msk.ru/account/1404191434/", 1404191434)</f>
        <v>1404191434</v>
      </c>
      <c r="F9224">
        <v>-655.92</v>
      </c>
    </row>
    <row r="9225" spans="1:6" x14ac:dyDescent="0.25">
      <c r="A9225" t="s">
        <v>692</v>
      </c>
      <c r="B9225" t="s">
        <v>130</v>
      </c>
      <c r="C9225" s="5" t="str">
        <f>" кв. "&amp;B9225</f>
        <v xml:space="preserve"> кв. 126</v>
      </c>
      <c r="D9225" s="5" t="str">
        <f>CONCATENATE(A9225,C9225)</f>
        <v>Прибрежный пр., дом 1 кв. 126</v>
      </c>
      <c r="E9225" s="3">
        <f>HYPERLINK("https://sao.dolgi.msk.ru/account/1404191442/", 1404191442)</f>
        <v>1404191442</v>
      </c>
      <c r="F9225">
        <v>1641.6</v>
      </c>
    </row>
    <row r="9226" spans="1:6" hidden="1" x14ac:dyDescent="0.25">
      <c r="A9226" t="s">
        <v>692</v>
      </c>
      <c r="B9226" t="s">
        <v>131</v>
      </c>
      <c r="E9226" s="3">
        <f>HYPERLINK("https://sao.dolgi.msk.ru/account/1404191813/", 1404191813)</f>
        <v>1404191813</v>
      </c>
      <c r="F9226">
        <v>-887.19</v>
      </c>
    </row>
    <row r="9227" spans="1:6" hidden="1" x14ac:dyDescent="0.25">
      <c r="A9227" t="s">
        <v>693</v>
      </c>
      <c r="B9227" t="s">
        <v>5</v>
      </c>
      <c r="E9227" s="3">
        <f>HYPERLINK("https://sao.dolgi.msk.ru/account/1404193018/", 1404193018)</f>
        <v>1404193018</v>
      </c>
      <c r="F9227">
        <v>-3036.61</v>
      </c>
    </row>
    <row r="9228" spans="1:6" x14ac:dyDescent="0.25">
      <c r="A9228" t="s">
        <v>693</v>
      </c>
      <c r="B9228" t="s">
        <v>6</v>
      </c>
      <c r="C9228" s="5" t="str">
        <f>" кв. "&amp;B9228</f>
        <v xml:space="preserve"> кв. 2</v>
      </c>
      <c r="D9228" s="5" t="str">
        <f>CONCATENATE(A9228,C9228)</f>
        <v>Прибрежный пр., дом 4 кв. 2</v>
      </c>
      <c r="E9228" s="3">
        <f>HYPERLINK("https://sao.dolgi.msk.ru/account/1404192357/", 1404192357)</f>
        <v>1404192357</v>
      </c>
      <c r="F9228">
        <v>940.75</v>
      </c>
    </row>
    <row r="9229" spans="1:6" hidden="1" x14ac:dyDescent="0.25">
      <c r="A9229" t="s">
        <v>693</v>
      </c>
      <c r="B9229" t="s">
        <v>7</v>
      </c>
      <c r="E9229" s="3">
        <f>HYPERLINK("https://sao.dolgi.msk.ru/account/1404193165/", 1404193165)</f>
        <v>1404193165</v>
      </c>
      <c r="F9229">
        <v>-2210.6799999999998</v>
      </c>
    </row>
    <row r="9230" spans="1:6" x14ac:dyDescent="0.25">
      <c r="A9230" t="s">
        <v>693</v>
      </c>
      <c r="B9230" t="s">
        <v>8</v>
      </c>
      <c r="C9230" s="5" t="str">
        <f>" кв. "&amp;B9230</f>
        <v xml:space="preserve"> кв. 4</v>
      </c>
      <c r="D9230" s="5" t="str">
        <f>CONCATENATE(A9230,C9230)</f>
        <v>Прибрежный пр., дом 4 кв. 4</v>
      </c>
      <c r="E9230" s="3">
        <f>HYPERLINK("https://sao.dolgi.msk.ru/account/1404192453/", 1404192453)</f>
        <v>1404192453</v>
      </c>
      <c r="F9230">
        <v>1987.5</v>
      </c>
    </row>
    <row r="9231" spans="1:6" hidden="1" x14ac:dyDescent="0.25">
      <c r="A9231" t="s">
        <v>693</v>
      </c>
      <c r="B9231" t="s">
        <v>9</v>
      </c>
      <c r="E9231" s="3">
        <f>HYPERLINK("https://sao.dolgi.msk.ru/account/1404192875/", 1404192875)</f>
        <v>1404192875</v>
      </c>
      <c r="F9231">
        <v>-3387.98</v>
      </c>
    </row>
    <row r="9232" spans="1:6" hidden="1" x14ac:dyDescent="0.25">
      <c r="A9232" t="s">
        <v>693</v>
      </c>
      <c r="B9232" t="s">
        <v>10</v>
      </c>
      <c r="E9232" s="3">
        <f>HYPERLINK("https://sao.dolgi.msk.ru/account/1404193544/", 1404193544)</f>
        <v>1404193544</v>
      </c>
      <c r="F9232">
        <v>-2009.8</v>
      </c>
    </row>
    <row r="9233" spans="1:6" hidden="1" x14ac:dyDescent="0.25">
      <c r="A9233" t="s">
        <v>693</v>
      </c>
      <c r="B9233" t="s">
        <v>11</v>
      </c>
      <c r="E9233" s="3">
        <f>HYPERLINK("https://sao.dolgi.msk.ru/account/1404192322/", 1404192322)</f>
        <v>1404192322</v>
      </c>
      <c r="F9233">
        <v>-2486.67</v>
      </c>
    </row>
    <row r="9234" spans="1:6" hidden="1" x14ac:dyDescent="0.25">
      <c r="A9234" t="s">
        <v>693</v>
      </c>
      <c r="B9234" t="s">
        <v>12</v>
      </c>
      <c r="E9234" s="3">
        <f>HYPERLINK("https://sao.dolgi.msk.ru/account/1404192306/", 1404192306)</f>
        <v>1404192306</v>
      </c>
      <c r="F9234">
        <v>0</v>
      </c>
    </row>
    <row r="9235" spans="1:6" x14ac:dyDescent="0.25">
      <c r="A9235" t="s">
        <v>693</v>
      </c>
      <c r="B9235" t="s">
        <v>13</v>
      </c>
      <c r="C9235" s="5" t="str">
        <f>" кв. "&amp;B9235</f>
        <v xml:space="preserve"> кв. 9</v>
      </c>
      <c r="D9235" s="5" t="str">
        <f>CONCATENATE(A9235,C9235)</f>
        <v>Прибрежный пр., дом 4 кв. 9</v>
      </c>
      <c r="E9235" s="3">
        <f>HYPERLINK("https://sao.dolgi.msk.ru/account/1404192111/", 1404192111)</f>
        <v>1404192111</v>
      </c>
      <c r="F9235">
        <v>2318.48</v>
      </c>
    </row>
    <row r="9236" spans="1:6" hidden="1" x14ac:dyDescent="0.25">
      <c r="A9236" t="s">
        <v>693</v>
      </c>
      <c r="B9236" t="s">
        <v>14</v>
      </c>
      <c r="E9236" s="3">
        <f>HYPERLINK("https://sao.dolgi.msk.ru/account/1404192648/", 1404192648)</f>
        <v>1404192648</v>
      </c>
      <c r="F9236">
        <v>-2067.77</v>
      </c>
    </row>
    <row r="9237" spans="1:6" hidden="1" x14ac:dyDescent="0.25">
      <c r="A9237" t="s">
        <v>693</v>
      </c>
      <c r="B9237" t="s">
        <v>15</v>
      </c>
      <c r="E9237" s="3">
        <f>HYPERLINK("https://sao.dolgi.msk.ru/account/1404193253/", 1404193253)</f>
        <v>1404193253</v>
      </c>
      <c r="F9237">
        <v>-1724.03</v>
      </c>
    </row>
    <row r="9238" spans="1:6" hidden="1" x14ac:dyDescent="0.25">
      <c r="A9238" t="s">
        <v>693</v>
      </c>
      <c r="B9238" t="s">
        <v>16</v>
      </c>
      <c r="E9238" s="3">
        <f>HYPERLINK("https://sao.dolgi.msk.ru/account/1404192226/", 1404192226)</f>
        <v>1404192226</v>
      </c>
      <c r="F9238">
        <v>-3489.67</v>
      </c>
    </row>
    <row r="9239" spans="1:6" hidden="1" x14ac:dyDescent="0.25">
      <c r="A9239" t="s">
        <v>693</v>
      </c>
      <c r="B9239" t="s">
        <v>17</v>
      </c>
      <c r="E9239" s="3">
        <f>HYPERLINK("https://sao.dolgi.msk.ru/account/1404192904/", 1404192904)</f>
        <v>1404192904</v>
      </c>
      <c r="F9239">
        <v>-2625.34</v>
      </c>
    </row>
    <row r="9240" spans="1:6" hidden="1" x14ac:dyDescent="0.25">
      <c r="A9240" t="s">
        <v>693</v>
      </c>
      <c r="B9240" t="s">
        <v>18</v>
      </c>
      <c r="E9240" s="3">
        <f>HYPERLINK("https://sao.dolgi.msk.ru/account/1404193288/", 1404193288)</f>
        <v>1404193288</v>
      </c>
      <c r="F9240">
        <v>-1868.49</v>
      </c>
    </row>
    <row r="9241" spans="1:6" hidden="1" x14ac:dyDescent="0.25">
      <c r="A9241" t="s">
        <v>693</v>
      </c>
      <c r="B9241" t="s">
        <v>19</v>
      </c>
      <c r="E9241" s="3">
        <f>HYPERLINK("https://sao.dolgi.msk.ru/account/1404192672/", 1404192672)</f>
        <v>1404192672</v>
      </c>
      <c r="F9241">
        <v>-1429.96</v>
      </c>
    </row>
    <row r="9242" spans="1:6" x14ac:dyDescent="0.25">
      <c r="A9242" t="s">
        <v>693</v>
      </c>
      <c r="B9242" t="s">
        <v>20</v>
      </c>
      <c r="C9242" s="5" t="str">
        <f>" кв. "&amp;B9242</f>
        <v xml:space="preserve"> кв. 16</v>
      </c>
      <c r="D9242" s="5" t="str">
        <f>CONCATENATE(A9242,C9242)</f>
        <v>Прибрежный пр., дом 4 кв. 16</v>
      </c>
      <c r="E9242" s="3">
        <f>HYPERLINK("https://sao.dolgi.msk.ru/account/1404193296/", 1404193296)</f>
        <v>1404193296</v>
      </c>
      <c r="F9242">
        <v>1866.17</v>
      </c>
    </row>
    <row r="9243" spans="1:6" hidden="1" x14ac:dyDescent="0.25">
      <c r="A9243" t="s">
        <v>693</v>
      </c>
      <c r="B9243" t="s">
        <v>21</v>
      </c>
      <c r="E9243" s="3">
        <f>HYPERLINK("https://sao.dolgi.msk.ru/account/1404192779/", 1404192779)</f>
        <v>1404192779</v>
      </c>
      <c r="F9243">
        <v>-3387.98</v>
      </c>
    </row>
    <row r="9244" spans="1:6" x14ac:dyDescent="0.25">
      <c r="A9244" t="s">
        <v>693</v>
      </c>
      <c r="B9244" t="s">
        <v>22</v>
      </c>
      <c r="C9244" s="5" t="str">
        <f>" кв. "&amp;B9244</f>
        <v xml:space="preserve"> кв. 18</v>
      </c>
      <c r="D9244" s="5" t="str">
        <f>CONCATENATE(A9244,C9244)</f>
        <v>Прибрежный пр., дом 4 кв. 18</v>
      </c>
      <c r="E9244" s="3">
        <f>HYPERLINK("https://sao.dolgi.msk.ru/account/1404192146/", 1404192146)</f>
        <v>1404192146</v>
      </c>
      <c r="F9244">
        <v>1704.86</v>
      </c>
    </row>
    <row r="9245" spans="1:6" hidden="1" x14ac:dyDescent="0.25">
      <c r="A9245" t="s">
        <v>693</v>
      </c>
      <c r="B9245" t="s">
        <v>23</v>
      </c>
      <c r="E9245" s="3">
        <f>HYPERLINK("https://sao.dolgi.msk.ru/account/1404193499/", 1404193499)</f>
        <v>1404193499</v>
      </c>
      <c r="F9245">
        <v>-2486.67</v>
      </c>
    </row>
    <row r="9246" spans="1:6" hidden="1" x14ac:dyDescent="0.25">
      <c r="A9246" t="s">
        <v>693</v>
      </c>
      <c r="B9246" t="s">
        <v>24</v>
      </c>
      <c r="E9246" s="3">
        <f>HYPERLINK("https://sao.dolgi.msk.ru/account/1404193333/", 1404193333)</f>
        <v>1404193333</v>
      </c>
      <c r="F9246">
        <v>-2727.03</v>
      </c>
    </row>
    <row r="9247" spans="1:6" x14ac:dyDescent="0.25">
      <c r="A9247" t="s">
        <v>693</v>
      </c>
      <c r="B9247" t="s">
        <v>25</v>
      </c>
      <c r="C9247" s="5" t="str">
        <f t="shared" ref="C9247:C9248" si="403">" кв. "&amp;B9247</f>
        <v xml:space="preserve"> кв. 21</v>
      </c>
      <c r="D9247" s="5" t="str">
        <f>CONCATENATE(A9247,C9247)</f>
        <v>Прибрежный пр., дом 4 кв. 21</v>
      </c>
      <c r="E9247" s="3">
        <f>HYPERLINK("https://sao.dolgi.msk.ru/account/1404192365/", 1404192365)</f>
        <v>1404192365</v>
      </c>
      <c r="F9247">
        <v>1799.74</v>
      </c>
    </row>
    <row r="9248" spans="1:6" x14ac:dyDescent="0.25">
      <c r="A9248" t="s">
        <v>693</v>
      </c>
      <c r="B9248" t="s">
        <v>26</v>
      </c>
      <c r="C9248" s="5" t="str">
        <f t="shared" si="403"/>
        <v xml:space="preserve"> кв. 22</v>
      </c>
      <c r="D9248" s="5" t="str">
        <f>CONCATENATE(A9248,C9248)</f>
        <v>Прибрежный пр., дом 4 кв. 22</v>
      </c>
      <c r="E9248" s="3">
        <f>HYPERLINK("https://sao.dolgi.msk.ru/account/1404193341/", 1404193341)</f>
        <v>1404193341</v>
      </c>
      <c r="F9248">
        <v>1701.69</v>
      </c>
    </row>
    <row r="9249" spans="1:6" hidden="1" x14ac:dyDescent="0.25">
      <c r="A9249" t="s">
        <v>693</v>
      </c>
      <c r="B9249" t="s">
        <v>27</v>
      </c>
      <c r="E9249" s="3">
        <f>HYPERLINK("https://sao.dolgi.msk.ru/account/1404192373/", 1404192373)</f>
        <v>1404192373</v>
      </c>
      <c r="F9249">
        <v>-2482.0500000000002</v>
      </c>
    </row>
    <row r="9250" spans="1:6" hidden="1" x14ac:dyDescent="0.25">
      <c r="A9250" t="s">
        <v>693</v>
      </c>
      <c r="B9250" t="s">
        <v>28</v>
      </c>
      <c r="E9250" s="3">
        <f>HYPERLINK("https://sao.dolgi.msk.ru/account/1404192381/", 1404192381)</f>
        <v>1404192381</v>
      </c>
      <c r="F9250">
        <v>-2713.16</v>
      </c>
    </row>
    <row r="9251" spans="1:6" hidden="1" x14ac:dyDescent="0.25">
      <c r="A9251" t="s">
        <v>693</v>
      </c>
      <c r="B9251" t="s">
        <v>29</v>
      </c>
      <c r="E9251" s="3">
        <f>HYPERLINK("https://sao.dolgi.msk.ru/account/1404192154/", 1404192154)</f>
        <v>1404192154</v>
      </c>
      <c r="F9251">
        <v>-803.22</v>
      </c>
    </row>
    <row r="9252" spans="1:6" hidden="1" x14ac:dyDescent="0.25">
      <c r="A9252" t="s">
        <v>693</v>
      </c>
      <c r="B9252" t="s">
        <v>30</v>
      </c>
      <c r="E9252" s="3">
        <f>HYPERLINK("https://sao.dolgi.msk.ru/account/1404193093/", 1404193093)</f>
        <v>1404193093</v>
      </c>
      <c r="F9252">
        <v>-2486.67</v>
      </c>
    </row>
    <row r="9253" spans="1:6" hidden="1" x14ac:dyDescent="0.25">
      <c r="A9253" t="s">
        <v>693</v>
      </c>
      <c r="B9253" t="s">
        <v>31</v>
      </c>
      <c r="E9253" s="3">
        <f>HYPERLINK("https://sao.dolgi.msk.ru/account/1404192162/", 1404192162)</f>
        <v>1404192162</v>
      </c>
      <c r="F9253">
        <v>-2000.55</v>
      </c>
    </row>
    <row r="9254" spans="1:6" hidden="1" x14ac:dyDescent="0.25">
      <c r="A9254" t="s">
        <v>693</v>
      </c>
      <c r="B9254" t="s">
        <v>32</v>
      </c>
      <c r="E9254" s="3">
        <f>HYPERLINK("https://sao.dolgi.msk.ru/account/1404192568/", 1404192568)</f>
        <v>1404192568</v>
      </c>
      <c r="F9254">
        <v>-3475.8</v>
      </c>
    </row>
    <row r="9255" spans="1:6" hidden="1" x14ac:dyDescent="0.25">
      <c r="A9255" t="s">
        <v>693</v>
      </c>
      <c r="B9255" t="s">
        <v>33</v>
      </c>
      <c r="E9255" s="3">
        <f>HYPERLINK("https://sao.dolgi.msk.ru/account/1404192189/", 1404192189)</f>
        <v>1404192189</v>
      </c>
      <c r="F9255">
        <v>-2487.63</v>
      </c>
    </row>
    <row r="9256" spans="1:6" hidden="1" x14ac:dyDescent="0.25">
      <c r="A9256" t="s">
        <v>693</v>
      </c>
      <c r="B9256" t="s">
        <v>34</v>
      </c>
      <c r="E9256" s="3">
        <f>HYPERLINK("https://sao.dolgi.msk.ru/account/1404192971/", 1404192971)</f>
        <v>1404192971</v>
      </c>
      <c r="F9256">
        <v>-1572.29</v>
      </c>
    </row>
    <row r="9257" spans="1:6" x14ac:dyDescent="0.25">
      <c r="A9257" t="s">
        <v>693</v>
      </c>
      <c r="B9257" t="s">
        <v>35</v>
      </c>
      <c r="C9257" s="5" t="str">
        <f>" кв. "&amp;B9257</f>
        <v xml:space="preserve"> кв. 31</v>
      </c>
      <c r="D9257" s="5" t="str">
        <f>CONCATENATE(A9257,C9257)</f>
        <v>Прибрежный пр., дом 4 кв. 31</v>
      </c>
      <c r="E9257" s="3">
        <f>HYPERLINK("https://sao.dolgi.msk.ru/account/1404193173/", 1404193173)</f>
        <v>1404193173</v>
      </c>
      <c r="F9257">
        <v>1698.53</v>
      </c>
    </row>
    <row r="9258" spans="1:6" hidden="1" x14ac:dyDescent="0.25">
      <c r="A9258" t="s">
        <v>693</v>
      </c>
      <c r="B9258" t="s">
        <v>36</v>
      </c>
      <c r="E9258" s="3">
        <f>HYPERLINK("https://sao.dolgi.msk.ru/account/1404192613/", 1404192613)</f>
        <v>1404192613</v>
      </c>
      <c r="F9258">
        <v>0</v>
      </c>
    </row>
    <row r="9259" spans="1:6" hidden="1" x14ac:dyDescent="0.25">
      <c r="A9259" t="s">
        <v>693</v>
      </c>
      <c r="B9259" t="s">
        <v>37</v>
      </c>
      <c r="E9259" s="3">
        <f>HYPERLINK("https://sao.dolgi.msk.ru/account/1404192437/", 1404192437)</f>
        <v>1404192437</v>
      </c>
      <c r="F9259">
        <v>-3392.6</v>
      </c>
    </row>
    <row r="9260" spans="1:6" hidden="1" x14ac:dyDescent="0.25">
      <c r="A9260" t="s">
        <v>693</v>
      </c>
      <c r="B9260" t="s">
        <v>38</v>
      </c>
      <c r="E9260" s="3">
        <f>HYPERLINK("https://sao.dolgi.msk.ru/account/1404193181/", 1404193181)</f>
        <v>1404193181</v>
      </c>
      <c r="F9260">
        <v>-2388.5500000000002</v>
      </c>
    </row>
    <row r="9261" spans="1:6" x14ac:dyDescent="0.25">
      <c r="A9261" t="s">
        <v>693</v>
      </c>
      <c r="B9261" t="s">
        <v>39</v>
      </c>
      <c r="C9261" s="5" t="str">
        <f>" кв. "&amp;B9261</f>
        <v xml:space="preserve"> кв. 35</v>
      </c>
      <c r="D9261" s="5" t="str">
        <f>CONCATENATE(A9261,C9261)</f>
        <v>Прибрежный пр., дом 4 кв. 35</v>
      </c>
      <c r="E9261" s="3">
        <f>HYPERLINK("https://sao.dolgi.msk.ru/account/1404192824/", 1404192824)</f>
        <v>1404192824</v>
      </c>
      <c r="F9261">
        <v>1698.53</v>
      </c>
    </row>
    <row r="9262" spans="1:6" hidden="1" x14ac:dyDescent="0.25">
      <c r="A9262" t="s">
        <v>693</v>
      </c>
      <c r="B9262" t="s">
        <v>40</v>
      </c>
      <c r="E9262" s="3">
        <f>HYPERLINK("https://sao.dolgi.msk.ru/account/1404192832/", 1404192832)</f>
        <v>1404192832</v>
      </c>
      <c r="F9262">
        <v>-2570.83</v>
      </c>
    </row>
    <row r="9263" spans="1:6" x14ac:dyDescent="0.25">
      <c r="A9263" t="s">
        <v>693</v>
      </c>
      <c r="B9263" t="s">
        <v>41</v>
      </c>
      <c r="C9263" s="5" t="str">
        <f t="shared" ref="C9263:C9264" si="404">" кв. "&amp;B9263</f>
        <v xml:space="preserve"> кв. 37</v>
      </c>
      <c r="D9263" s="5" t="str">
        <f>CONCATENATE(A9263,C9263)</f>
        <v>Прибрежный пр., дом 4 кв. 37</v>
      </c>
      <c r="E9263" s="3">
        <f>HYPERLINK("https://sao.dolgi.msk.ru/account/1404192939/", 1404192939)</f>
        <v>1404192939</v>
      </c>
      <c r="F9263">
        <v>1547.76</v>
      </c>
    </row>
    <row r="9264" spans="1:6" x14ac:dyDescent="0.25">
      <c r="A9264" t="s">
        <v>693</v>
      </c>
      <c r="B9264" t="s">
        <v>41</v>
      </c>
      <c r="C9264" s="5" t="str">
        <f t="shared" si="404"/>
        <v xml:space="preserve"> кв. 37</v>
      </c>
      <c r="D9264" s="5" t="str">
        <f>CONCATENATE(A9264,C9264)</f>
        <v>Прибрежный пр., дом 4 кв. 37</v>
      </c>
      <c r="E9264" s="3">
        <f>HYPERLINK("https://sao.dolgi.msk.ru/account/1404193624/", 1404193624)</f>
        <v>1404193624</v>
      </c>
      <c r="F9264">
        <v>386.94</v>
      </c>
    </row>
    <row r="9265" spans="1:6" hidden="1" x14ac:dyDescent="0.25">
      <c r="A9265" t="s">
        <v>693</v>
      </c>
      <c r="B9265" t="s">
        <v>42</v>
      </c>
      <c r="E9265" s="3">
        <f>HYPERLINK("https://sao.dolgi.msk.ru/account/1404192445/", 1404192445)</f>
        <v>1404192445</v>
      </c>
      <c r="F9265">
        <v>-2094.19</v>
      </c>
    </row>
    <row r="9266" spans="1:6" hidden="1" x14ac:dyDescent="0.25">
      <c r="A9266" t="s">
        <v>693</v>
      </c>
      <c r="B9266" t="s">
        <v>43</v>
      </c>
      <c r="E9266" s="3">
        <f>HYPERLINK("https://sao.dolgi.msk.ru/account/1404192242/", 1404192242)</f>
        <v>1404192242</v>
      </c>
      <c r="F9266">
        <v>-1577.08</v>
      </c>
    </row>
    <row r="9267" spans="1:6" hidden="1" x14ac:dyDescent="0.25">
      <c r="A9267" t="s">
        <v>693</v>
      </c>
      <c r="B9267" t="s">
        <v>44</v>
      </c>
      <c r="E9267" s="3">
        <f>HYPERLINK("https://sao.dolgi.msk.ru/account/1404192859/", 1404192859)</f>
        <v>1404192859</v>
      </c>
      <c r="F9267">
        <v>0</v>
      </c>
    </row>
    <row r="9268" spans="1:6" hidden="1" x14ac:dyDescent="0.25">
      <c r="A9268" t="s">
        <v>693</v>
      </c>
      <c r="B9268" t="s">
        <v>45</v>
      </c>
      <c r="E9268" s="3">
        <f>HYPERLINK("https://sao.dolgi.msk.ru/account/1404192867/", 1404192867)</f>
        <v>1404192867</v>
      </c>
      <c r="F9268">
        <v>-3392.6</v>
      </c>
    </row>
    <row r="9269" spans="1:6" hidden="1" x14ac:dyDescent="0.25">
      <c r="A9269" t="s">
        <v>693</v>
      </c>
      <c r="B9269" t="s">
        <v>46</v>
      </c>
      <c r="E9269" s="3">
        <f>HYPERLINK("https://sao.dolgi.msk.ru/account/1404193632/", 1404193632)</f>
        <v>1404193632</v>
      </c>
      <c r="F9269">
        <v>0</v>
      </c>
    </row>
    <row r="9270" spans="1:6" hidden="1" x14ac:dyDescent="0.25">
      <c r="A9270" t="s">
        <v>693</v>
      </c>
      <c r="B9270" t="s">
        <v>47</v>
      </c>
      <c r="E9270" s="3">
        <f>HYPERLINK("https://sao.dolgi.msk.ru/account/1404193202/", 1404193202)</f>
        <v>1404193202</v>
      </c>
      <c r="F9270">
        <v>-2482.0500000000002</v>
      </c>
    </row>
    <row r="9271" spans="1:6" x14ac:dyDescent="0.25">
      <c r="A9271" t="s">
        <v>693</v>
      </c>
      <c r="B9271" t="s">
        <v>48</v>
      </c>
      <c r="C9271" s="5" t="str">
        <f>" кв. "&amp;B9271</f>
        <v xml:space="preserve"> кв. 44</v>
      </c>
      <c r="D9271" s="5" t="str">
        <f>CONCATENATE(A9271,C9271)</f>
        <v>Прибрежный пр., дом 4 кв. 44</v>
      </c>
      <c r="E9271" s="3">
        <f>HYPERLINK("https://sao.dolgi.msk.ru/account/1404192269/", 1404192269)</f>
        <v>1404192269</v>
      </c>
      <c r="F9271">
        <v>2378.58</v>
      </c>
    </row>
    <row r="9272" spans="1:6" hidden="1" x14ac:dyDescent="0.25">
      <c r="A9272" t="s">
        <v>693</v>
      </c>
      <c r="B9272" t="s">
        <v>49</v>
      </c>
      <c r="E9272" s="3">
        <f>HYPERLINK("https://sao.dolgi.msk.ru/account/1404193392/", 1404193392)</f>
        <v>1404193392</v>
      </c>
      <c r="F9272">
        <v>0</v>
      </c>
    </row>
    <row r="9273" spans="1:6" x14ac:dyDescent="0.25">
      <c r="A9273" t="s">
        <v>693</v>
      </c>
      <c r="B9273" t="s">
        <v>50</v>
      </c>
      <c r="C9273" s="5" t="str">
        <f>" кв. "&amp;B9273</f>
        <v xml:space="preserve"> кв. 46</v>
      </c>
      <c r="D9273" s="5" t="str">
        <f>CONCATENATE(A9273,C9273)</f>
        <v>Прибрежный пр., дом 4 кв. 46</v>
      </c>
      <c r="E9273" s="3">
        <f>HYPERLINK("https://sao.dolgi.msk.ru/account/1404192998/", 1404192998)</f>
        <v>1404192998</v>
      </c>
      <c r="F9273">
        <v>1695.37</v>
      </c>
    </row>
    <row r="9274" spans="1:6" hidden="1" x14ac:dyDescent="0.25">
      <c r="A9274" t="s">
        <v>693</v>
      </c>
      <c r="B9274" t="s">
        <v>51</v>
      </c>
      <c r="E9274" s="3">
        <f>HYPERLINK("https://sao.dolgi.msk.ru/account/1404192461/", 1404192461)</f>
        <v>1404192461</v>
      </c>
      <c r="F9274">
        <v>-1243.3399999999999</v>
      </c>
    </row>
    <row r="9275" spans="1:6" hidden="1" x14ac:dyDescent="0.25">
      <c r="A9275" t="s">
        <v>693</v>
      </c>
      <c r="B9275" t="s">
        <v>52</v>
      </c>
      <c r="E9275" s="3">
        <f>HYPERLINK("https://sao.dolgi.msk.ru/account/1404193659/", 1404193659)</f>
        <v>1404193659</v>
      </c>
      <c r="F9275">
        <v>-3037.26</v>
      </c>
    </row>
    <row r="9276" spans="1:6" hidden="1" x14ac:dyDescent="0.25">
      <c r="A9276" t="s">
        <v>693</v>
      </c>
      <c r="B9276" t="s">
        <v>53</v>
      </c>
      <c r="E9276" s="3">
        <f>HYPERLINK("https://sao.dolgi.msk.ru/account/1404192621/", 1404192621)</f>
        <v>1404192621</v>
      </c>
      <c r="F9276">
        <v>-3406.47</v>
      </c>
    </row>
    <row r="9277" spans="1:6" x14ac:dyDescent="0.25">
      <c r="A9277" t="s">
        <v>693</v>
      </c>
      <c r="B9277" t="s">
        <v>54</v>
      </c>
      <c r="C9277" s="5" t="str">
        <f>" кв. "&amp;B9277</f>
        <v xml:space="preserve"> кв. 50</v>
      </c>
      <c r="D9277" s="5" t="str">
        <f>CONCATENATE(A9277,C9277)</f>
        <v>Прибрежный пр., дом 4 кв. 50</v>
      </c>
      <c r="E9277" s="3">
        <f>HYPERLINK("https://sao.dolgi.msk.ru/account/1404193229/", 1404193229)</f>
        <v>1404193229</v>
      </c>
      <c r="F9277">
        <v>1031.1400000000001</v>
      </c>
    </row>
    <row r="9278" spans="1:6" hidden="1" x14ac:dyDescent="0.25">
      <c r="A9278" t="s">
        <v>693</v>
      </c>
      <c r="B9278" t="s">
        <v>55</v>
      </c>
      <c r="E9278" s="3">
        <f>HYPERLINK("https://sao.dolgi.msk.ru/account/1404193237/", 1404193237)</f>
        <v>1404193237</v>
      </c>
      <c r="F9278">
        <v>0</v>
      </c>
    </row>
    <row r="9279" spans="1:6" hidden="1" x14ac:dyDescent="0.25">
      <c r="A9279" t="s">
        <v>693</v>
      </c>
      <c r="B9279" t="s">
        <v>56</v>
      </c>
      <c r="E9279" s="3">
        <f>HYPERLINK("https://sao.dolgi.msk.ru/account/1404192883/", 1404192883)</f>
        <v>1404192883</v>
      </c>
      <c r="F9279">
        <v>-2708.53</v>
      </c>
    </row>
    <row r="9280" spans="1:6" hidden="1" x14ac:dyDescent="0.25">
      <c r="A9280" t="s">
        <v>693</v>
      </c>
      <c r="B9280" t="s">
        <v>57</v>
      </c>
      <c r="E9280" s="3">
        <f>HYPERLINK("https://sao.dolgi.msk.ru/account/1404193667/", 1404193667)</f>
        <v>1404193667</v>
      </c>
      <c r="F9280">
        <v>-2403.0700000000002</v>
      </c>
    </row>
    <row r="9281" spans="1:6" x14ac:dyDescent="0.25">
      <c r="A9281" t="s">
        <v>693</v>
      </c>
      <c r="B9281" t="s">
        <v>58</v>
      </c>
      <c r="C9281" s="5" t="str">
        <f>" кв. "&amp;B9281</f>
        <v xml:space="preserve"> кв. 54</v>
      </c>
      <c r="D9281" s="5" t="str">
        <f>CONCATENATE(A9281,C9281)</f>
        <v>Прибрежный пр., дом 4 кв. 54</v>
      </c>
      <c r="E9281" s="3">
        <f>HYPERLINK("https://sao.dolgi.msk.ru/account/1404193368/", 1404193368)</f>
        <v>1404193368</v>
      </c>
      <c r="F9281">
        <v>1695.37</v>
      </c>
    </row>
    <row r="9282" spans="1:6" hidden="1" x14ac:dyDescent="0.25">
      <c r="A9282" t="s">
        <v>693</v>
      </c>
      <c r="B9282" t="s">
        <v>59</v>
      </c>
      <c r="E9282" s="3">
        <f>HYPERLINK("https://sao.dolgi.msk.ru/account/1404193501/", 1404193501)</f>
        <v>1404193501</v>
      </c>
      <c r="F9282">
        <v>-2486.67</v>
      </c>
    </row>
    <row r="9283" spans="1:6" hidden="1" x14ac:dyDescent="0.25">
      <c r="A9283" t="s">
        <v>693</v>
      </c>
      <c r="B9283" t="s">
        <v>60</v>
      </c>
      <c r="E9283" s="3">
        <f>HYPERLINK("https://sao.dolgi.msk.ru/account/1404193106/", 1404193106)</f>
        <v>1404193106</v>
      </c>
      <c r="F9283">
        <v>0</v>
      </c>
    </row>
    <row r="9284" spans="1:6" hidden="1" x14ac:dyDescent="0.25">
      <c r="A9284" t="s">
        <v>693</v>
      </c>
      <c r="B9284" t="s">
        <v>61</v>
      </c>
      <c r="E9284" s="3">
        <f>HYPERLINK("https://sao.dolgi.msk.ru/account/1404193528/", 1404193528)</f>
        <v>1404193528</v>
      </c>
      <c r="F9284">
        <v>0</v>
      </c>
    </row>
    <row r="9285" spans="1:6" hidden="1" x14ac:dyDescent="0.25">
      <c r="A9285" t="s">
        <v>693</v>
      </c>
      <c r="B9285" t="s">
        <v>62</v>
      </c>
      <c r="E9285" s="3">
        <f>HYPERLINK("https://sao.dolgi.msk.ru/account/1404192787/", 1404192787)</f>
        <v>1404192787</v>
      </c>
      <c r="F9285">
        <v>-1422.16</v>
      </c>
    </row>
    <row r="9286" spans="1:6" x14ac:dyDescent="0.25">
      <c r="A9286" t="s">
        <v>693</v>
      </c>
      <c r="B9286" t="s">
        <v>63</v>
      </c>
      <c r="C9286" s="5" t="str">
        <f t="shared" ref="C9286:C9287" si="405">" кв. "&amp;B9286</f>
        <v xml:space="preserve"> кв. 59</v>
      </c>
      <c r="D9286" s="5" t="str">
        <f>CONCATENATE(A9286,C9286)</f>
        <v>Прибрежный пр., дом 4 кв. 59</v>
      </c>
      <c r="E9286" s="3">
        <f>HYPERLINK("https://sao.dolgi.msk.ru/account/1404193536/", 1404193536)</f>
        <v>1404193536</v>
      </c>
      <c r="F9286">
        <v>1701.69</v>
      </c>
    </row>
    <row r="9287" spans="1:6" x14ac:dyDescent="0.25">
      <c r="A9287" t="s">
        <v>693</v>
      </c>
      <c r="B9287" t="s">
        <v>64</v>
      </c>
      <c r="C9287" s="5" t="str">
        <f t="shared" si="405"/>
        <v xml:space="preserve"> кв. 60</v>
      </c>
      <c r="D9287" s="5" t="str">
        <f>CONCATENATE(A9287,C9287)</f>
        <v>Прибрежный пр., дом 4 кв. 60</v>
      </c>
      <c r="E9287" s="3">
        <f>HYPERLINK("https://sao.dolgi.msk.ru/account/1404192584/", 1404192584)</f>
        <v>1404192584</v>
      </c>
      <c r="F9287">
        <v>2375.41</v>
      </c>
    </row>
    <row r="9288" spans="1:6" hidden="1" x14ac:dyDescent="0.25">
      <c r="A9288" t="s">
        <v>693</v>
      </c>
      <c r="B9288" t="s">
        <v>65</v>
      </c>
      <c r="E9288" s="3">
        <f>HYPERLINK("https://sao.dolgi.msk.ru/account/1404192197/", 1404192197)</f>
        <v>1404192197</v>
      </c>
      <c r="F9288">
        <v>-1700.93</v>
      </c>
    </row>
    <row r="9289" spans="1:6" hidden="1" x14ac:dyDescent="0.25">
      <c r="A9289" t="s">
        <v>693</v>
      </c>
      <c r="B9289" t="s">
        <v>66</v>
      </c>
      <c r="E9289" s="3">
        <f>HYPERLINK("https://sao.dolgi.msk.ru/account/1404192795/", 1404192795)</f>
        <v>1404192795</v>
      </c>
      <c r="F9289">
        <v>0</v>
      </c>
    </row>
    <row r="9290" spans="1:6" hidden="1" x14ac:dyDescent="0.25">
      <c r="A9290" t="s">
        <v>693</v>
      </c>
      <c r="B9290" t="s">
        <v>67</v>
      </c>
      <c r="E9290" s="3">
        <f>HYPERLINK("https://sao.dolgi.msk.ru/account/1404192402/", 1404192402)</f>
        <v>1404192402</v>
      </c>
      <c r="F9290">
        <v>-2500.54</v>
      </c>
    </row>
    <row r="9291" spans="1:6" hidden="1" x14ac:dyDescent="0.25">
      <c r="A9291" t="s">
        <v>693</v>
      </c>
      <c r="B9291" t="s">
        <v>68</v>
      </c>
      <c r="E9291" s="3">
        <f>HYPERLINK("https://sao.dolgi.msk.ru/account/1404193309/", 1404193309)</f>
        <v>1404193309</v>
      </c>
      <c r="F9291">
        <v>-2255.16</v>
      </c>
    </row>
    <row r="9292" spans="1:6" hidden="1" x14ac:dyDescent="0.25">
      <c r="A9292" t="s">
        <v>693</v>
      </c>
      <c r="B9292" t="s">
        <v>69</v>
      </c>
      <c r="E9292" s="3">
        <f>HYPERLINK("https://sao.dolgi.msk.ru/account/1404193317/", 1404193317)</f>
        <v>1404193317</v>
      </c>
      <c r="F9292">
        <v>-2125.56</v>
      </c>
    </row>
    <row r="9293" spans="1:6" hidden="1" x14ac:dyDescent="0.25">
      <c r="A9293" t="s">
        <v>693</v>
      </c>
      <c r="B9293" t="s">
        <v>70</v>
      </c>
      <c r="E9293" s="3">
        <f>HYPERLINK("https://sao.dolgi.msk.ru/account/1404192744/", 1404192744)</f>
        <v>1404192744</v>
      </c>
      <c r="F9293">
        <v>0</v>
      </c>
    </row>
    <row r="9294" spans="1:6" hidden="1" x14ac:dyDescent="0.25">
      <c r="A9294" t="s">
        <v>693</v>
      </c>
      <c r="B9294" t="s">
        <v>71</v>
      </c>
      <c r="E9294" s="3">
        <f>HYPERLINK("https://sao.dolgi.msk.ru/account/1404192082/", 1404192082)</f>
        <v>1404192082</v>
      </c>
      <c r="F9294">
        <v>0</v>
      </c>
    </row>
    <row r="9295" spans="1:6" hidden="1" x14ac:dyDescent="0.25">
      <c r="A9295" t="s">
        <v>693</v>
      </c>
      <c r="B9295" t="s">
        <v>72</v>
      </c>
      <c r="E9295" s="3">
        <f>HYPERLINK("https://sao.dolgi.msk.ru/account/1404192103/", 1404192103)</f>
        <v>1404192103</v>
      </c>
      <c r="F9295">
        <v>-616.77</v>
      </c>
    </row>
    <row r="9296" spans="1:6" hidden="1" x14ac:dyDescent="0.25">
      <c r="A9296" t="s">
        <v>693</v>
      </c>
      <c r="B9296" t="s">
        <v>72</v>
      </c>
      <c r="E9296" s="3">
        <f>HYPERLINK("https://sao.dolgi.msk.ru/account/1404192576/", 1404192576)</f>
        <v>1404192576</v>
      </c>
      <c r="F9296">
        <v>-2249.7199999999998</v>
      </c>
    </row>
    <row r="9297" spans="1:6" hidden="1" x14ac:dyDescent="0.25">
      <c r="A9297" t="s">
        <v>693</v>
      </c>
      <c r="B9297" t="s">
        <v>73</v>
      </c>
      <c r="E9297" s="3">
        <f>HYPERLINK("https://sao.dolgi.msk.ru/account/1404192947/", 1404192947)</f>
        <v>1404192947</v>
      </c>
      <c r="F9297">
        <v>-2907.72</v>
      </c>
    </row>
    <row r="9298" spans="1:6" hidden="1" x14ac:dyDescent="0.25">
      <c r="A9298" t="s">
        <v>693</v>
      </c>
      <c r="B9298" t="s">
        <v>74</v>
      </c>
      <c r="E9298" s="3">
        <f>HYPERLINK("https://sao.dolgi.msk.ru/account/1404192525/", 1404192525)</f>
        <v>1404192525</v>
      </c>
      <c r="F9298">
        <v>-1705.54</v>
      </c>
    </row>
    <row r="9299" spans="1:6" hidden="1" x14ac:dyDescent="0.25">
      <c r="A9299" t="s">
        <v>693</v>
      </c>
      <c r="B9299" t="s">
        <v>75</v>
      </c>
      <c r="E9299" s="3">
        <f>HYPERLINK("https://sao.dolgi.msk.ru/account/1404193325/", 1404193325)</f>
        <v>1404193325</v>
      </c>
      <c r="F9299">
        <v>-2468.1799999999998</v>
      </c>
    </row>
    <row r="9300" spans="1:6" hidden="1" x14ac:dyDescent="0.25">
      <c r="A9300" t="s">
        <v>693</v>
      </c>
      <c r="B9300" t="s">
        <v>76</v>
      </c>
      <c r="E9300" s="3">
        <f>HYPERLINK("https://sao.dolgi.msk.ru/account/1404192752/", 1404192752)</f>
        <v>1404192752</v>
      </c>
      <c r="F9300">
        <v>-2970.61</v>
      </c>
    </row>
    <row r="9301" spans="1:6" hidden="1" x14ac:dyDescent="0.25">
      <c r="A9301" t="s">
        <v>693</v>
      </c>
      <c r="B9301" t="s">
        <v>77</v>
      </c>
      <c r="E9301" s="3">
        <f>HYPERLINK("https://sao.dolgi.msk.ru/account/1404192699/", 1404192699)</f>
        <v>1404192699</v>
      </c>
      <c r="F9301">
        <v>-4979.1899999999996</v>
      </c>
    </row>
    <row r="9302" spans="1:6" hidden="1" x14ac:dyDescent="0.25">
      <c r="A9302" t="s">
        <v>693</v>
      </c>
      <c r="B9302" t="s">
        <v>78</v>
      </c>
      <c r="E9302" s="3">
        <f>HYPERLINK("https://sao.dolgi.msk.ru/account/1404192701/", 1404192701)</f>
        <v>1404192701</v>
      </c>
      <c r="F9302">
        <v>-1234.08</v>
      </c>
    </row>
    <row r="9303" spans="1:6" hidden="1" x14ac:dyDescent="0.25">
      <c r="A9303" t="s">
        <v>693</v>
      </c>
      <c r="B9303" t="s">
        <v>79</v>
      </c>
      <c r="E9303" s="3">
        <f>HYPERLINK("https://sao.dolgi.msk.ru/account/1404193034/", 1404193034)</f>
        <v>1404193034</v>
      </c>
      <c r="F9303">
        <v>-2468.1799999999998</v>
      </c>
    </row>
    <row r="9304" spans="1:6" hidden="1" x14ac:dyDescent="0.25">
      <c r="A9304" t="s">
        <v>693</v>
      </c>
      <c r="B9304" t="s">
        <v>80</v>
      </c>
      <c r="E9304" s="3">
        <f>HYPERLINK("https://sao.dolgi.msk.ru/account/1404192293/", 1404192293)</f>
        <v>1404192293</v>
      </c>
      <c r="F9304">
        <v>0</v>
      </c>
    </row>
    <row r="9305" spans="1:6" hidden="1" x14ac:dyDescent="0.25">
      <c r="A9305" t="s">
        <v>693</v>
      </c>
      <c r="B9305" t="s">
        <v>81</v>
      </c>
      <c r="E9305" s="3">
        <f>HYPERLINK("https://sao.dolgi.msk.ru/account/1404192728/", 1404192728)</f>
        <v>1404192728</v>
      </c>
      <c r="F9305">
        <v>-2030.56</v>
      </c>
    </row>
    <row r="9306" spans="1:6" x14ac:dyDescent="0.25">
      <c r="A9306" t="s">
        <v>693</v>
      </c>
      <c r="B9306" t="s">
        <v>82</v>
      </c>
      <c r="C9306" s="5" t="str">
        <f t="shared" ref="C9306:C9307" si="406">" кв. "&amp;B9306</f>
        <v xml:space="preserve"> кв. 78</v>
      </c>
      <c r="D9306" s="5" t="str">
        <f>CONCATENATE(A9306,C9306)</f>
        <v>Прибрежный пр., дом 4 кв. 78</v>
      </c>
      <c r="E9306" s="3">
        <f>HYPERLINK("https://sao.dolgi.msk.ru/account/1404192509/", 1404192509)</f>
        <v>1404192509</v>
      </c>
      <c r="F9306">
        <v>422.26</v>
      </c>
    </row>
    <row r="9307" spans="1:6" x14ac:dyDescent="0.25">
      <c r="A9307" t="s">
        <v>693</v>
      </c>
      <c r="B9307" t="s">
        <v>82</v>
      </c>
      <c r="C9307" s="5" t="str">
        <f t="shared" si="406"/>
        <v xml:space="preserve"> кв. 78</v>
      </c>
      <c r="D9307" s="5" t="str">
        <f>CONCATENATE(A9307,C9307)</f>
        <v>Прибрежный пр., дом 4 кв. 78</v>
      </c>
      <c r="E9307" s="3">
        <f>HYPERLINK("https://sao.dolgi.msk.ru/account/1404193114/", 1404193114)</f>
        <v>1404193114</v>
      </c>
      <c r="F9307">
        <v>844.52</v>
      </c>
    </row>
    <row r="9308" spans="1:6" hidden="1" x14ac:dyDescent="0.25">
      <c r="A9308" t="s">
        <v>693</v>
      </c>
      <c r="B9308" t="s">
        <v>83</v>
      </c>
      <c r="E9308" s="3">
        <f>HYPERLINK("https://sao.dolgi.msk.ru/account/1404193456/", 1404193456)</f>
        <v>1404193456</v>
      </c>
      <c r="F9308">
        <v>-1414.37</v>
      </c>
    </row>
    <row r="9309" spans="1:6" hidden="1" x14ac:dyDescent="0.25">
      <c r="A9309" t="s">
        <v>693</v>
      </c>
      <c r="B9309" t="s">
        <v>84</v>
      </c>
      <c r="E9309" s="3">
        <f>HYPERLINK("https://sao.dolgi.msk.ru/account/1404192736/", 1404192736)</f>
        <v>1404192736</v>
      </c>
      <c r="F9309">
        <v>-1764.47</v>
      </c>
    </row>
    <row r="9310" spans="1:6" hidden="1" x14ac:dyDescent="0.25">
      <c r="A9310" t="s">
        <v>693</v>
      </c>
      <c r="B9310" t="s">
        <v>84</v>
      </c>
      <c r="E9310" s="3">
        <f>HYPERLINK("https://sao.dolgi.msk.ru/account/1404193042/", 1404193042)</f>
        <v>1404193042</v>
      </c>
      <c r="F9310">
        <v>-842.38</v>
      </c>
    </row>
    <row r="9311" spans="1:6" x14ac:dyDescent="0.25">
      <c r="A9311" t="s">
        <v>693</v>
      </c>
      <c r="B9311" t="s">
        <v>85</v>
      </c>
      <c r="C9311" s="5" t="str">
        <f>" кв. "&amp;B9311</f>
        <v xml:space="preserve"> кв. 81</v>
      </c>
      <c r="D9311" s="5" t="str">
        <f>CONCATENATE(A9311,C9311)</f>
        <v>Прибрежный пр., дом 4 кв. 81</v>
      </c>
      <c r="E9311" s="3">
        <f>HYPERLINK("https://sao.dolgi.msk.ru/account/1404192314/", 1404192314)</f>
        <v>1404192314</v>
      </c>
      <c r="F9311">
        <v>1961.09</v>
      </c>
    </row>
    <row r="9312" spans="1:6" hidden="1" x14ac:dyDescent="0.25">
      <c r="A9312" t="s">
        <v>693</v>
      </c>
      <c r="B9312" t="s">
        <v>86</v>
      </c>
      <c r="E9312" s="3">
        <f>HYPERLINK("https://sao.dolgi.msk.ru/account/1404192517/", 1404192517)</f>
        <v>1404192517</v>
      </c>
      <c r="F9312">
        <v>0</v>
      </c>
    </row>
    <row r="9313" spans="1:6" hidden="1" x14ac:dyDescent="0.25">
      <c r="A9313" t="s">
        <v>693</v>
      </c>
      <c r="B9313" t="s">
        <v>87</v>
      </c>
      <c r="E9313" s="3">
        <f>HYPERLINK("https://sao.dolgi.msk.ru/account/1404192912/", 1404192912)</f>
        <v>1404192912</v>
      </c>
      <c r="F9313">
        <v>0</v>
      </c>
    </row>
    <row r="9314" spans="1:6" x14ac:dyDescent="0.25">
      <c r="A9314" t="s">
        <v>693</v>
      </c>
      <c r="B9314" t="s">
        <v>88</v>
      </c>
      <c r="C9314" s="5" t="str">
        <f>" кв. "&amp;B9314</f>
        <v xml:space="preserve"> кв. 84</v>
      </c>
      <c r="D9314" s="5" t="str">
        <f>CONCATENATE(A9314,C9314)</f>
        <v>Прибрежный пр., дом 4 кв. 84</v>
      </c>
      <c r="E9314" s="3">
        <f>HYPERLINK("https://sao.dolgi.msk.ru/account/1404193464/", 1404193464)</f>
        <v>1404193464</v>
      </c>
      <c r="F9314">
        <v>2305.83</v>
      </c>
    </row>
    <row r="9315" spans="1:6" hidden="1" x14ac:dyDescent="0.25">
      <c r="A9315" t="s">
        <v>693</v>
      </c>
      <c r="B9315" t="s">
        <v>89</v>
      </c>
      <c r="E9315" s="3">
        <f>HYPERLINK("https://sao.dolgi.msk.ru/account/1404192066/", 1404192066)</f>
        <v>1404192066</v>
      </c>
      <c r="F9315">
        <v>0</v>
      </c>
    </row>
    <row r="9316" spans="1:6" hidden="1" x14ac:dyDescent="0.25">
      <c r="A9316" t="s">
        <v>693</v>
      </c>
      <c r="B9316" t="s">
        <v>90</v>
      </c>
      <c r="E9316" s="3">
        <f>HYPERLINK("https://sao.dolgi.msk.ru/account/1404193069/", 1404193069)</f>
        <v>1404193069</v>
      </c>
      <c r="F9316">
        <v>0</v>
      </c>
    </row>
    <row r="9317" spans="1:6" hidden="1" x14ac:dyDescent="0.25">
      <c r="A9317" t="s">
        <v>693</v>
      </c>
      <c r="B9317" t="s">
        <v>91</v>
      </c>
      <c r="E9317" s="3">
        <f>HYPERLINK("https://sao.dolgi.msk.ru/account/1404193472/", 1404193472)</f>
        <v>1404193472</v>
      </c>
      <c r="F9317">
        <v>-1234.08</v>
      </c>
    </row>
    <row r="9318" spans="1:6" x14ac:dyDescent="0.25">
      <c r="A9318" t="s">
        <v>693</v>
      </c>
      <c r="B9318" t="s">
        <v>92</v>
      </c>
      <c r="C9318" s="5" t="str">
        <f>" кв. "&amp;B9318</f>
        <v xml:space="preserve"> кв. 88</v>
      </c>
      <c r="D9318" s="5" t="str">
        <f>CONCATENATE(A9318,C9318)</f>
        <v>Прибрежный пр., дом 4 кв. 88</v>
      </c>
      <c r="E9318" s="3">
        <f>HYPERLINK("https://sao.dolgi.msk.ru/account/1404192533/", 1404192533)</f>
        <v>1404192533</v>
      </c>
      <c r="F9318">
        <v>2308.9899999999998</v>
      </c>
    </row>
    <row r="9319" spans="1:6" hidden="1" x14ac:dyDescent="0.25">
      <c r="A9319" t="s">
        <v>693</v>
      </c>
      <c r="B9319" t="s">
        <v>93</v>
      </c>
      <c r="E9319" s="3">
        <f>HYPERLINK("https://sao.dolgi.msk.ru/account/1404192349/", 1404192349)</f>
        <v>1404192349</v>
      </c>
      <c r="F9319">
        <v>-1941.26</v>
      </c>
    </row>
    <row r="9320" spans="1:6" x14ac:dyDescent="0.25">
      <c r="A9320" t="s">
        <v>693</v>
      </c>
      <c r="B9320" t="s">
        <v>94</v>
      </c>
      <c r="C9320" s="5" t="str">
        <f t="shared" ref="C9320:C9321" si="407">" кв. "&amp;B9320</f>
        <v xml:space="preserve"> кв. 90</v>
      </c>
      <c r="D9320" s="5" t="str">
        <f>CONCATENATE(A9320,C9320)</f>
        <v>Прибрежный пр., дом 4 кв. 90</v>
      </c>
      <c r="E9320" s="3">
        <f>HYPERLINK("https://sao.dolgi.msk.ru/account/1404192955/", 1404192955)</f>
        <v>1404192955</v>
      </c>
      <c r="F9320">
        <v>1689.04</v>
      </c>
    </row>
    <row r="9321" spans="1:6" x14ac:dyDescent="0.25">
      <c r="A9321" t="s">
        <v>693</v>
      </c>
      <c r="B9321" t="s">
        <v>95</v>
      </c>
      <c r="C9321" s="5" t="str">
        <f t="shared" si="407"/>
        <v xml:space="preserve"> кв. 91</v>
      </c>
      <c r="D9321" s="5" t="str">
        <f>CONCATENATE(A9321,C9321)</f>
        <v>Прибрежный пр., дом 4 кв. 91</v>
      </c>
      <c r="E9321" s="3">
        <f>HYPERLINK("https://sao.dolgi.msk.ru/account/1404193077/", 1404193077)</f>
        <v>1404193077</v>
      </c>
      <c r="F9321">
        <v>1689.04</v>
      </c>
    </row>
    <row r="9322" spans="1:6" hidden="1" x14ac:dyDescent="0.25">
      <c r="A9322" t="s">
        <v>693</v>
      </c>
      <c r="B9322" t="s">
        <v>96</v>
      </c>
      <c r="E9322" s="3">
        <f>HYPERLINK("https://sao.dolgi.msk.ru/account/1404193085/", 1404193085)</f>
        <v>1404193085</v>
      </c>
      <c r="F9322">
        <v>-3374.11</v>
      </c>
    </row>
    <row r="9323" spans="1:6" x14ac:dyDescent="0.25">
      <c r="A9323" t="s">
        <v>693</v>
      </c>
      <c r="B9323" t="s">
        <v>97</v>
      </c>
      <c r="C9323" s="5" t="str">
        <f t="shared" ref="C9323:C9324" si="408">" кв. "&amp;B9323</f>
        <v xml:space="preserve"> кв. 93</v>
      </c>
      <c r="D9323" s="5" t="str">
        <f>CONCATENATE(A9323,C9323)</f>
        <v>Прибрежный пр., дом 4 кв. 93</v>
      </c>
      <c r="E9323" s="3">
        <f>HYPERLINK("https://sao.dolgi.msk.ru/account/1404192138/", 1404192138)</f>
        <v>1404192138</v>
      </c>
      <c r="F9323">
        <v>2372.25</v>
      </c>
    </row>
    <row r="9324" spans="1:6" x14ac:dyDescent="0.25">
      <c r="A9324" t="s">
        <v>693</v>
      </c>
      <c r="B9324" t="s">
        <v>98</v>
      </c>
      <c r="C9324" s="5" t="str">
        <f t="shared" si="408"/>
        <v xml:space="preserve"> кв. 94</v>
      </c>
      <c r="D9324" s="5" t="str">
        <f>CONCATENATE(A9324,C9324)</f>
        <v>Прибрежный пр., дом 4 кв. 94</v>
      </c>
      <c r="E9324" s="3">
        <f>HYPERLINK("https://sao.dolgi.msk.ru/account/1404192541/", 1404192541)</f>
        <v>1404192541</v>
      </c>
      <c r="F9324">
        <v>1689.04</v>
      </c>
    </row>
    <row r="9325" spans="1:6" hidden="1" x14ac:dyDescent="0.25">
      <c r="A9325" t="s">
        <v>693</v>
      </c>
      <c r="B9325" t="s">
        <v>99</v>
      </c>
      <c r="E9325" s="3">
        <f>HYPERLINK("https://sao.dolgi.msk.ru/account/1404192808/", 1404192808)</f>
        <v>1404192808</v>
      </c>
      <c r="F9325">
        <v>-2468.1799999999998</v>
      </c>
    </row>
    <row r="9326" spans="1:6" hidden="1" x14ac:dyDescent="0.25">
      <c r="A9326" t="s">
        <v>693</v>
      </c>
      <c r="B9326" t="s">
        <v>100</v>
      </c>
      <c r="E9326" s="3">
        <f>HYPERLINK("https://sao.dolgi.msk.ru/account/1404192816/", 1404192816)</f>
        <v>1404192816</v>
      </c>
      <c r="F9326">
        <v>-3374.11</v>
      </c>
    </row>
    <row r="9327" spans="1:6" hidden="1" x14ac:dyDescent="0.25">
      <c r="A9327" t="s">
        <v>693</v>
      </c>
      <c r="B9327" t="s">
        <v>101</v>
      </c>
      <c r="E9327" s="3">
        <f>HYPERLINK("https://sao.dolgi.msk.ru/account/1404192592/", 1404192592)</f>
        <v>1404192592</v>
      </c>
      <c r="F9327">
        <v>-1941.26</v>
      </c>
    </row>
    <row r="9328" spans="1:6" x14ac:dyDescent="0.25">
      <c r="A9328" t="s">
        <v>693</v>
      </c>
      <c r="B9328" t="s">
        <v>102</v>
      </c>
      <c r="C9328" s="5" t="str">
        <f>" кв. "&amp;B9328</f>
        <v xml:space="preserve"> кв. 98</v>
      </c>
      <c r="D9328" s="5" t="str">
        <f>CONCATENATE(A9328,C9328)</f>
        <v>Прибрежный пр., дом 4 кв. 98</v>
      </c>
      <c r="E9328" s="3">
        <f>HYPERLINK("https://sao.dolgi.msk.ru/account/1404193579/", 1404193579)</f>
        <v>1404193579</v>
      </c>
      <c r="F9328">
        <v>1689.04</v>
      </c>
    </row>
    <row r="9329" spans="1:6" hidden="1" x14ac:dyDescent="0.25">
      <c r="A9329" t="s">
        <v>693</v>
      </c>
      <c r="B9329" t="s">
        <v>103</v>
      </c>
      <c r="E9329" s="3">
        <f>HYPERLINK("https://sao.dolgi.msk.ru/account/1404193587/", 1404193587)</f>
        <v>1404193587</v>
      </c>
      <c r="F9329">
        <v>-2468.1799999999998</v>
      </c>
    </row>
    <row r="9330" spans="1:6" hidden="1" x14ac:dyDescent="0.25">
      <c r="A9330" t="s">
        <v>693</v>
      </c>
      <c r="B9330" t="s">
        <v>104</v>
      </c>
      <c r="E9330" s="3">
        <f>HYPERLINK("https://sao.dolgi.msk.ru/account/1404193405/", 1404193405)</f>
        <v>1404193405</v>
      </c>
      <c r="F9330">
        <v>-1848.82</v>
      </c>
    </row>
    <row r="9331" spans="1:6" hidden="1" x14ac:dyDescent="0.25">
      <c r="A9331" t="s">
        <v>693</v>
      </c>
      <c r="B9331" t="s">
        <v>105</v>
      </c>
      <c r="E9331" s="3">
        <f>HYPERLINK("https://sao.dolgi.msk.ru/account/1404192656/", 1404192656)</f>
        <v>1404192656</v>
      </c>
      <c r="F9331">
        <v>-2744.35</v>
      </c>
    </row>
    <row r="9332" spans="1:6" hidden="1" x14ac:dyDescent="0.25">
      <c r="A9332" t="s">
        <v>693</v>
      </c>
      <c r="B9332" t="s">
        <v>106</v>
      </c>
      <c r="E9332" s="3">
        <f>HYPERLINK("https://sao.dolgi.msk.ru/account/1404192488/", 1404192488)</f>
        <v>1404192488</v>
      </c>
      <c r="F9332">
        <v>-1705.54</v>
      </c>
    </row>
    <row r="9333" spans="1:6" hidden="1" x14ac:dyDescent="0.25">
      <c r="A9333" t="s">
        <v>693</v>
      </c>
      <c r="B9333" t="s">
        <v>107</v>
      </c>
      <c r="E9333" s="3">
        <f>HYPERLINK("https://sao.dolgi.msk.ru/account/1404193026/", 1404193026)</f>
        <v>1404193026</v>
      </c>
      <c r="F9333">
        <v>-2468.1799999999998</v>
      </c>
    </row>
    <row r="9334" spans="1:6" hidden="1" x14ac:dyDescent="0.25">
      <c r="A9334" t="s">
        <v>693</v>
      </c>
      <c r="B9334" t="s">
        <v>108</v>
      </c>
      <c r="E9334" s="3">
        <f>HYPERLINK("https://sao.dolgi.msk.ru/account/1404193413/", 1404193413)</f>
        <v>1404193413</v>
      </c>
      <c r="F9334">
        <v>-3374.11</v>
      </c>
    </row>
    <row r="9335" spans="1:6" hidden="1" x14ac:dyDescent="0.25">
      <c r="A9335" t="s">
        <v>693</v>
      </c>
      <c r="B9335" t="s">
        <v>109</v>
      </c>
      <c r="E9335" s="3">
        <f>HYPERLINK("https://sao.dolgi.msk.ru/account/1404193421/", 1404193421)</f>
        <v>1404193421</v>
      </c>
      <c r="F9335">
        <v>-2703.91</v>
      </c>
    </row>
    <row r="9336" spans="1:6" hidden="1" x14ac:dyDescent="0.25">
      <c r="A9336" t="s">
        <v>693</v>
      </c>
      <c r="B9336" t="s">
        <v>110</v>
      </c>
      <c r="E9336" s="3">
        <f>HYPERLINK("https://sao.dolgi.msk.ru/account/1404193675/", 1404193675)</f>
        <v>1404193675</v>
      </c>
      <c r="F9336">
        <v>-2060.9299999999998</v>
      </c>
    </row>
    <row r="9337" spans="1:6" hidden="1" x14ac:dyDescent="0.25">
      <c r="A9337" t="s">
        <v>693</v>
      </c>
      <c r="B9337" t="s">
        <v>111</v>
      </c>
      <c r="E9337" s="3">
        <f>HYPERLINK("https://sao.dolgi.msk.ru/account/1404192496/", 1404192496)</f>
        <v>1404192496</v>
      </c>
      <c r="F9337">
        <v>-2468.1799999999998</v>
      </c>
    </row>
    <row r="9338" spans="1:6" x14ac:dyDescent="0.25">
      <c r="A9338" t="s">
        <v>693</v>
      </c>
      <c r="B9338" t="s">
        <v>112</v>
      </c>
      <c r="C9338" s="5" t="str">
        <f>" кв. "&amp;B9338</f>
        <v xml:space="preserve"> кв. 108</v>
      </c>
      <c r="D9338" s="5" t="str">
        <f>CONCATENATE(A9338,C9338)</f>
        <v>Прибрежный пр., дом 4 кв. 108</v>
      </c>
      <c r="E9338" s="3">
        <f>HYPERLINK("https://sao.dolgi.msk.ru/account/1404192891/", 1404192891)</f>
        <v>1404192891</v>
      </c>
      <c r="F9338">
        <v>1787.09</v>
      </c>
    </row>
    <row r="9339" spans="1:6" hidden="1" x14ac:dyDescent="0.25">
      <c r="A9339" t="s">
        <v>693</v>
      </c>
      <c r="B9339" t="s">
        <v>113</v>
      </c>
      <c r="E9339" s="3">
        <f>HYPERLINK("https://sao.dolgi.msk.ru/account/1404193683/", 1404193683)</f>
        <v>1404193683</v>
      </c>
      <c r="F9339">
        <v>-2717.78</v>
      </c>
    </row>
    <row r="9340" spans="1:6" hidden="1" x14ac:dyDescent="0.25">
      <c r="A9340" t="s">
        <v>693</v>
      </c>
      <c r="B9340" t="s">
        <v>114</v>
      </c>
      <c r="E9340" s="3">
        <f>HYPERLINK("https://sao.dolgi.msk.ru/account/1404193448/", 1404193448)</f>
        <v>1404193448</v>
      </c>
      <c r="F9340">
        <v>0</v>
      </c>
    </row>
    <row r="9341" spans="1:6" hidden="1" x14ac:dyDescent="0.25">
      <c r="A9341" t="s">
        <v>693</v>
      </c>
      <c r="B9341" t="s">
        <v>115</v>
      </c>
      <c r="E9341" s="3">
        <f>HYPERLINK("https://sao.dolgi.msk.ru/account/1404193122/", 1404193122)</f>
        <v>1404193122</v>
      </c>
      <c r="F9341">
        <v>-1708.02</v>
      </c>
    </row>
    <row r="9342" spans="1:6" hidden="1" x14ac:dyDescent="0.25">
      <c r="A9342" t="s">
        <v>693</v>
      </c>
      <c r="B9342" t="s">
        <v>116</v>
      </c>
      <c r="E9342" s="3">
        <f>HYPERLINK("https://sao.dolgi.msk.ru/account/1404192074/", 1404192074)</f>
        <v>1404192074</v>
      </c>
      <c r="F9342">
        <v>-933.66</v>
      </c>
    </row>
    <row r="9343" spans="1:6" hidden="1" x14ac:dyDescent="0.25">
      <c r="A9343" t="s">
        <v>693</v>
      </c>
      <c r="B9343" t="s">
        <v>116</v>
      </c>
      <c r="E9343" s="3">
        <f>HYPERLINK("https://sao.dolgi.msk.ru/account/1404193245/", 1404193245)</f>
        <v>1404193245</v>
      </c>
      <c r="F9343">
        <v>-1696.3</v>
      </c>
    </row>
    <row r="9344" spans="1:6" hidden="1" x14ac:dyDescent="0.25">
      <c r="A9344" t="s">
        <v>693</v>
      </c>
      <c r="B9344" t="s">
        <v>117</v>
      </c>
      <c r="E9344" s="3">
        <f>HYPERLINK("https://sao.dolgi.msk.ru/account/1404193376/", 1404193376)</f>
        <v>1404193376</v>
      </c>
      <c r="F9344">
        <v>-2717.78</v>
      </c>
    </row>
    <row r="9345" spans="1:6" hidden="1" x14ac:dyDescent="0.25">
      <c r="A9345" t="s">
        <v>693</v>
      </c>
      <c r="B9345" t="s">
        <v>118</v>
      </c>
      <c r="E9345" s="3">
        <f>HYPERLINK("https://sao.dolgi.msk.ru/account/1404193384/", 1404193384)</f>
        <v>1404193384</v>
      </c>
      <c r="F9345">
        <v>0</v>
      </c>
    </row>
    <row r="9346" spans="1:6" x14ac:dyDescent="0.25">
      <c r="A9346" t="s">
        <v>693</v>
      </c>
      <c r="B9346" t="s">
        <v>119</v>
      </c>
      <c r="C9346" s="5" t="str">
        <f>" кв. "&amp;B9346</f>
        <v xml:space="preserve"> кв. 115</v>
      </c>
      <c r="D9346" s="5" t="str">
        <f>CONCATENATE(A9346,C9346)</f>
        <v>Прибрежный пр., дом 4 кв. 115</v>
      </c>
      <c r="E9346" s="3">
        <f>HYPERLINK("https://sao.dolgi.msk.ru/account/1404192218/", 1404192218)</f>
        <v>1404192218</v>
      </c>
      <c r="F9346">
        <v>1708.02</v>
      </c>
    </row>
    <row r="9347" spans="1:6" hidden="1" x14ac:dyDescent="0.25">
      <c r="A9347" t="s">
        <v>693</v>
      </c>
      <c r="B9347" t="s">
        <v>120</v>
      </c>
      <c r="E9347" s="3">
        <f>HYPERLINK("https://sao.dolgi.msk.ru/account/1404192605/", 1404192605)</f>
        <v>1404192605</v>
      </c>
      <c r="F9347">
        <v>0</v>
      </c>
    </row>
    <row r="9348" spans="1:6" hidden="1" x14ac:dyDescent="0.25">
      <c r="A9348" t="s">
        <v>693</v>
      </c>
      <c r="B9348" t="s">
        <v>121</v>
      </c>
      <c r="E9348" s="3">
        <f>HYPERLINK("https://sao.dolgi.msk.ru/account/1404193595/", 1404193595)</f>
        <v>1404193595</v>
      </c>
      <c r="F9348">
        <v>-3480.42</v>
      </c>
    </row>
    <row r="9349" spans="1:6" hidden="1" x14ac:dyDescent="0.25">
      <c r="A9349" t="s">
        <v>693</v>
      </c>
      <c r="B9349" t="s">
        <v>122</v>
      </c>
      <c r="E9349" s="3">
        <f>HYPERLINK("https://sao.dolgi.msk.ru/account/1404193608/", 1404193608)</f>
        <v>1404193608</v>
      </c>
      <c r="F9349">
        <v>-2482.0500000000002</v>
      </c>
    </row>
    <row r="9350" spans="1:6" x14ac:dyDescent="0.25">
      <c r="A9350" t="s">
        <v>693</v>
      </c>
      <c r="B9350" t="s">
        <v>123</v>
      </c>
      <c r="C9350" s="5" t="str">
        <f>" кв. "&amp;B9350</f>
        <v xml:space="preserve"> кв. 119</v>
      </c>
      <c r="D9350" s="5" t="str">
        <f>CONCATENATE(A9350,C9350)</f>
        <v>Прибрежный пр., дом 4 кв. 119</v>
      </c>
      <c r="E9350" s="3">
        <f>HYPERLINK("https://sao.dolgi.msk.ru/account/1404192963/", 1404192963)</f>
        <v>1404192963</v>
      </c>
      <c r="F9350">
        <v>1043.79</v>
      </c>
    </row>
    <row r="9351" spans="1:6" hidden="1" x14ac:dyDescent="0.25">
      <c r="A9351" t="s">
        <v>693</v>
      </c>
      <c r="B9351" t="s">
        <v>124</v>
      </c>
      <c r="E9351" s="3">
        <f>HYPERLINK("https://sao.dolgi.msk.ru/account/1404192429/", 1404192429)</f>
        <v>1404192429</v>
      </c>
      <c r="F9351">
        <v>-2231.7800000000002</v>
      </c>
    </row>
    <row r="9352" spans="1:6" hidden="1" x14ac:dyDescent="0.25">
      <c r="A9352" t="s">
        <v>693</v>
      </c>
      <c r="B9352" t="s">
        <v>125</v>
      </c>
      <c r="E9352" s="3">
        <f>HYPERLINK("https://sao.dolgi.msk.ru/account/1404193149/", 1404193149)</f>
        <v>1404193149</v>
      </c>
      <c r="F9352">
        <v>-2409.1799999999998</v>
      </c>
    </row>
    <row r="9353" spans="1:6" hidden="1" x14ac:dyDescent="0.25">
      <c r="A9353" t="s">
        <v>693</v>
      </c>
      <c r="B9353" t="s">
        <v>126</v>
      </c>
      <c r="E9353" s="3">
        <f>HYPERLINK("https://sao.dolgi.msk.ru/account/1404192277/", 1404192277)</f>
        <v>1404192277</v>
      </c>
      <c r="F9353">
        <v>0</v>
      </c>
    </row>
    <row r="9354" spans="1:6" hidden="1" x14ac:dyDescent="0.25">
      <c r="A9354" t="s">
        <v>693</v>
      </c>
      <c r="B9354" t="s">
        <v>126</v>
      </c>
      <c r="E9354" s="3">
        <f>HYPERLINK("https://sao.dolgi.msk.ru/account/1404193616/", 1404193616)</f>
        <v>1404193616</v>
      </c>
      <c r="F9354">
        <v>0</v>
      </c>
    </row>
    <row r="9355" spans="1:6" hidden="1" x14ac:dyDescent="0.25">
      <c r="A9355" t="s">
        <v>693</v>
      </c>
      <c r="B9355" t="s">
        <v>127</v>
      </c>
      <c r="E9355" s="3">
        <f>HYPERLINK("https://sao.dolgi.msk.ru/account/1404193157/", 1404193157)</f>
        <v>1404193157</v>
      </c>
      <c r="F9355">
        <v>-2495.92</v>
      </c>
    </row>
    <row r="9356" spans="1:6" hidden="1" x14ac:dyDescent="0.25">
      <c r="A9356" t="s">
        <v>693</v>
      </c>
      <c r="B9356" t="s">
        <v>128</v>
      </c>
      <c r="E9356" s="3">
        <f>HYPERLINK("https://sao.dolgi.msk.ru/account/1404192234/", 1404192234)</f>
        <v>1404192234</v>
      </c>
      <c r="F9356">
        <v>-1723.3</v>
      </c>
    </row>
    <row r="9357" spans="1:6" hidden="1" x14ac:dyDescent="0.25">
      <c r="A9357" t="s">
        <v>693</v>
      </c>
      <c r="B9357" t="s">
        <v>129</v>
      </c>
      <c r="E9357" s="3">
        <f>HYPERLINK("https://sao.dolgi.msk.ru/account/1404192285/", 1404192285)</f>
        <v>1404192285</v>
      </c>
      <c r="F9357">
        <v>-1733.29</v>
      </c>
    </row>
    <row r="9358" spans="1:6" hidden="1" x14ac:dyDescent="0.25">
      <c r="A9358" t="s">
        <v>693</v>
      </c>
      <c r="B9358" t="s">
        <v>129</v>
      </c>
      <c r="E9358" s="3">
        <f>HYPERLINK("https://sao.dolgi.msk.ru/account/1404193552/", 1404193552)</f>
        <v>1404193552</v>
      </c>
      <c r="F9358">
        <v>-1459.71</v>
      </c>
    </row>
    <row r="9359" spans="1:6" x14ac:dyDescent="0.25">
      <c r="A9359" t="s">
        <v>693</v>
      </c>
      <c r="B9359" t="s">
        <v>130</v>
      </c>
      <c r="C9359" s="5" t="str">
        <f>" кв. "&amp;B9359</f>
        <v xml:space="preserve"> кв. 126</v>
      </c>
      <c r="D9359" s="5" t="str">
        <f>CONCATENATE(A9359,C9359)</f>
        <v>Прибрежный пр., дом 4 кв. 126</v>
      </c>
      <c r="E9359" s="3">
        <f>HYPERLINK("https://sao.dolgi.msk.ru/account/1404192058/", 1404192058)</f>
        <v>1404192058</v>
      </c>
      <c r="F9359">
        <v>1423.35</v>
      </c>
    </row>
    <row r="9360" spans="1:6" hidden="1" x14ac:dyDescent="0.25">
      <c r="A9360" t="s">
        <v>693</v>
      </c>
      <c r="B9360" t="s">
        <v>131</v>
      </c>
      <c r="E9360" s="3">
        <f>HYPERLINK("https://sao.dolgi.msk.ru/account/1404192664/", 1404192664)</f>
        <v>1404192664</v>
      </c>
      <c r="F9360">
        <v>-1243.3399999999999</v>
      </c>
    </row>
    <row r="9361" spans="1:6" hidden="1" x14ac:dyDescent="0.25">
      <c r="A9361" t="s">
        <v>693</v>
      </c>
      <c r="B9361" t="s">
        <v>132</v>
      </c>
      <c r="E9361" s="3">
        <f>HYPERLINK("https://sao.dolgi.msk.ru/account/1404193261/", 1404193261)</f>
        <v>1404193261</v>
      </c>
      <c r="F9361">
        <v>-2643.83</v>
      </c>
    </row>
    <row r="9362" spans="1:6" hidden="1" x14ac:dyDescent="0.25">
      <c r="A9362" t="s">
        <v>694</v>
      </c>
      <c r="B9362" t="s">
        <v>5</v>
      </c>
      <c r="E9362" s="3">
        <f>HYPERLINK("https://sao.dolgi.msk.ru/account/1404274213/", 1404274213)</f>
        <v>1404274213</v>
      </c>
      <c r="F9362">
        <v>-1151.1300000000001</v>
      </c>
    </row>
    <row r="9363" spans="1:6" hidden="1" x14ac:dyDescent="0.25">
      <c r="A9363" t="s">
        <v>694</v>
      </c>
      <c r="B9363" t="s">
        <v>6</v>
      </c>
      <c r="E9363" s="3">
        <f>HYPERLINK("https://sao.dolgi.msk.ru/account/1404278599/", 1404278599)</f>
        <v>1404278599</v>
      </c>
      <c r="F9363">
        <v>-1286.1300000000001</v>
      </c>
    </row>
    <row r="9364" spans="1:6" hidden="1" x14ac:dyDescent="0.25">
      <c r="A9364" t="s">
        <v>694</v>
      </c>
      <c r="B9364" t="s">
        <v>7</v>
      </c>
      <c r="E9364" s="3">
        <f>HYPERLINK("https://sao.dolgi.msk.ru/account/1404279268/", 1404279268)</f>
        <v>1404279268</v>
      </c>
      <c r="F9364">
        <v>-1154.6500000000001</v>
      </c>
    </row>
    <row r="9365" spans="1:6" hidden="1" x14ac:dyDescent="0.25">
      <c r="A9365" t="s">
        <v>694</v>
      </c>
      <c r="B9365" t="s">
        <v>8</v>
      </c>
      <c r="E9365" s="3">
        <f>HYPERLINK("https://sao.dolgi.msk.ru/account/1404273464/", 1404273464)</f>
        <v>1404273464</v>
      </c>
      <c r="F9365">
        <v>-2576.39</v>
      </c>
    </row>
    <row r="9366" spans="1:6" x14ac:dyDescent="0.25">
      <c r="A9366" t="s">
        <v>694</v>
      </c>
      <c r="B9366" t="s">
        <v>9</v>
      </c>
      <c r="C9366" s="5" t="str">
        <f>" кв. "&amp;B9366</f>
        <v xml:space="preserve"> кв. 5</v>
      </c>
      <c r="D9366" s="5" t="str">
        <f>CONCATENATE(A9366,C9366)</f>
        <v>Прибрежный пр., дом 7 кв. 5</v>
      </c>
      <c r="E9366" s="3">
        <f>HYPERLINK("https://sao.dolgi.msk.ru/account/1404275005/", 1404275005)</f>
        <v>1404275005</v>
      </c>
      <c r="F9366">
        <v>1983.2</v>
      </c>
    </row>
    <row r="9367" spans="1:6" hidden="1" x14ac:dyDescent="0.25">
      <c r="A9367" t="s">
        <v>694</v>
      </c>
      <c r="B9367" t="s">
        <v>10</v>
      </c>
      <c r="E9367" s="3">
        <f>HYPERLINK("https://sao.dolgi.msk.ru/account/1404273317/", 1404273317)</f>
        <v>1404273317</v>
      </c>
      <c r="F9367">
        <v>-1469.81</v>
      </c>
    </row>
    <row r="9368" spans="1:6" x14ac:dyDescent="0.25">
      <c r="A9368" t="s">
        <v>694</v>
      </c>
      <c r="B9368" t="s">
        <v>11</v>
      </c>
      <c r="C9368" s="5" t="str">
        <f>" кв. "&amp;B9368</f>
        <v xml:space="preserve"> кв. 7</v>
      </c>
      <c r="D9368" s="5" t="str">
        <f>CONCATENATE(A9368,C9368)</f>
        <v>Прибрежный пр., дом 7 кв. 7</v>
      </c>
      <c r="E9368" s="3">
        <f>HYPERLINK("https://sao.dolgi.msk.ru/account/1404278679/", 1404278679)</f>
        <v>1404278679</v>
      </c>
      <c r="F9368">
        <v>1398.05</v>
      </c>
    </row>
    <row r="9369" spans="1:6" hidden="1" x14ac:dyDescent="0.25">
      <c r="A9369" t="s">
        <v>694</v>
      </c>
      <c r="B9369" t="s">
        <v>12</v>
      </c>
      <c r="E9369" s="3">
        <f>HYPERLINK("https://sao.dolgi.msk.ru/account/1404276235/", 1404276235)</f>
        <v>1404276235</v>
      </c>
      <c r="F9369">
        <v>-2930.38</v>
      </c>
    </row>
    <row r="9370" spans="1:6" x14ac:dyDescent="0.25">
      <c r="A9370" t="s">
        <v>694</v>
      </c>
      <c r="B9370" t="s">
        <v>13</v>
      </c>
      <c r="C9370" s="5" t="str">
        <f t="shared" ref="C9370:C9371" si="409">" кв. "&amp;B9370</f>
        <v xml:space="preserve"> кв. 9</v>
      </c>
      <c r="D9370" s="5" t="str">
        <f>CONCATENATE(A9370,C9370)</f>
        <v>Прибрежный пр., дом 7 кв. 9</v>
      </c>
      <c r="E9370" s="3">
        <f>HYPERLINK("https://sao.dolgi.msk.ru/account/1404277887/", 1404277887)</f>
        <v>1404277887</v>
      </c>
      <c r="F9370">
        <v>1973.71</v>
      </c>
    </row>
    <row r="9371" spans="1:6" x14ac:dyDescent="0.25">
      <c r="A9371" t="s">
        <v>694</v>
      </c>
      <c r="B9371" t="s">
        <v>14</v>
      </c>
      <c r="C9371" s="5" t="str">
        <f t="shared" si="409"/>
        <v xml:space="preserve"> кв. 10</v>
      </c>
      <c r="D9371" s="5" t="str">
        <f>CONCATENATE(A9371,C9371)</f>
        <v>Прибрежный пр., дом 7 кв. 10</v>
      </c>
      <c r="E9371" s="3">
        <f>HYPERLINK("https://sao.dolgi.msk.ru/account/1404273368/", 1404273368)</f>
        <v>1404273368</v>
      </c>
      <c r="F9371">
        <v>1005.83</v>
      </c>
    </row>
    <row r="9372" spans="1:6" hidden="1" x14ac:dyDescent="0.25">
      <c r="A9372" t="s">
        <v>694</v>
      </c>
      <c r="B9372" t="s">
        <v>15</v>
      </c>
      <c r="E9372" s="3">
        <f>HYPERLINK("https://sao.dolgi.msk.ru/account/1404275726/", 1404275726)</f>
        <v>1404275726</v>
      </c>
      <c r="F9372">
        <v>-1142.5999999999999</v>
      </c>
    </row>
    <row r="9373" spans="1:6" x14ac:dyDescent="0.25">
      <c r="A9373" t="s">
        <v>694</v>
      </c>
      <c r="B9373" t="s">
        <v>16</v>
      </c>
      <c r="C9373" s="5" t="str">
        <f t="shared" ref="C9373:C9375" si="410">" кв. "&amp;B9373</f>
        <v xml:space="preserve"> кв. 12</v>
      </c>
      <c r="D9373" s="5" t="str">
        <f>CONCATENATE(A9373,C9373)</f>
        <v>Прибрежный пр., дом 7 кв. 12</v>
      </c>
      <c r="E9373" s="3">
        <f>HYPERLINK("https://sao.dolgi.msk.ru/account/1404278265/", 1404278265)</f>
        <v>1404278265</v>
      </c>
      <c r="F9373">
        <v>1999.02</v>
      </c>
    </row>
    <row r="9374" spans="1:6" x14ac:dyDescent="0.25">
      <c r="A9374" t="s">
        <v>694</v>
      </c>
      <c r="B9374" t="s">
        <v>17</v>
      </c>
      <c r="C9374" s="5" t="str">
        <f t="shared" si="410"/>
        <v xml:space="preserve"> кв. 13</v>
      </c>
      <c r="D9374" s="5" t="str">
        <f>CONCATENATE(A9374,C9374)</f>
        <v>Прибрежный пр., дом 7 кв. 13</v>
      </c>
      <c r="E9374" s="3">
        <f>HYPERLINK("https://sao.dolgi.msk.ru/account/1404277748/", 1404277748)</f>
        <v>1404277748</v>
      </c>
      <c r="F9374">
        <v>1980.04</v>
      </c>
    </row>
    <row r="9375" spans="1:6" x14ac:dyDescent="0.25">
      <c r="A9375" t="s">
        <v>694</v>
      </c>
      <c r="B9375" t="s">
        <v>18</v>
      </c>
      <c r="C9375" s="5" t="str">
        <f t="shared" si="410"/>
        <v xml:space="preserve"> кв. 14</v>
      </c>
      <c r="D9375" s="5" t="str">
        <f>CONCATENATE(A9375,C9375)</f>
        <v>Прибрежный пр., дом 7 кв. 14</v>
      </c>
      <c r="E9375" s="3">
        <f>HYPERLINK("https://sao.dolgi.msk.ru/account/1404277967/", 1404277967)</f>
        <v>1404277967</v>
      </c>
      <c r="F9375">
        <v>1005.83</v>
      </c>
    </row>
    <row r="9376" spans="1:6" hidden="1" x14ac:dyDescent="0.25">
      <c r="A9376" t="s">
        <v>694</v>
      </c>
      <c r="B9376" t="s">
        <v>19</v>
      </c>
      <c r="E9376" s="3">
        <f>HYPERLINK("https://sao.dolgi.msk.ru/account/1404274651/", 1404274651)</f>
        <v>1404274651</v>
      </c>
      <c r="F9376">
        <v>-2052.19</v>
      </c>
    </row>
    <row r="9377" spans="1:6" hidden="1" x14ac:dyDescent="0.25">
      <c r="A9377" t="s">
        <v>694</v>
      </c>
      <c r="B9377" t="s">
        <v>20</v>
      </c>
      <c r="E9377" s="3">
        <f>HYPERLINK("https://sao.dolgi.msk.ru/account/1404273675/", 1404273675)</f>
        <v>1404273675</v>
      </c>
      <c r="F9377">
        <v>0</v>
      </c>
    </row>
    <row r="9378" spans="1:6" hidden="1" x14ac:dyDescent="0.25">
      <c r="A9378" t="s">
        <v>694</v>
      </c>
      <c r="B9378" t="s">
        <v>21</v>
      </c>
      <c r="E9378" s="3">
        <f>HYPERLINK("https://sao.dolgi.msk.ru/account/1404278337/", 1404278337)</f>
        <v>1404278337</v>
      </c>
      <c r="F9378">
        <v>-1574.94</v>
      </c>
    </row>
    <row r="9379" spans="1:6" hidden="1" x14ac:dyDescent="0.25">
      <c r="A9379" t="s">
        <v>694</v>
      </c>
      <c r="B9379" t="s">
        <v>22</v>
      </c>
      <c r="E9379" s="3">
        <f>HYPERLINK("https://sao.dolgi.msk.ru/account/1404274467/", 1404274467)</f>
        <v>1404274467</v>
      </c>
      <c r="F9379">
        <v>-1460.57</v>
      </c>
    </row>
    <row r="9380" spans="1:6" x14ac:dyDescent="0.25">
      <c r="A9380" t="s">
        <v>694</v>
      </c>
      <c r="B9380" t="s">
        <v>23</v>
      </c>
      <c r="C9380" s="5" t="str">
        <f>" кв. "&amp;B9380</f>
        <v xml:space="preserve"> кв. 19</v>
      </c>
      <c r="D9380" s="5" t="str">
        <f>CONCATENATE(A9380,C9380)</f>
        <v>Прибрежный пр., дом 7 кв. 19</v>
      </c>
      <c r="E9380" s="3">
        <f>HYPERLINK("https://sao.dolgi.msk.ru/account/1404275312/", 1404275312)</f>
        <v>1404275312</v>
      </c>
      <c r="F9380">
        <v>1407.54</v>
      </c>
    </row>
    <row r="9381" spans="1:6" hidden="1" x14ac:dyDescent="0.25">
      <c r="A9381" t="s">
        <v>694</v>
      </c>
      <c r="B9381" t="s">
        <v>24</v>
      </c>
      <c r="E9381" s="3">
        <f>HYPERLINK("https://sao.dolgi.msk.ru/account/1404275427/", 1404275427)</f>
        <v>1404275427</v>
      </c>
      <c r="F9381">
        <v>-2902.66</v>
      </c>
    </row>
    <row r="9382" spans="1:6" hidden="1" x14ac:dyDescent="0.25">
      <c r="A9382" t="s">
        <v>694</v>
      </c>
      <c r="B9382" t="s">
        <v>25</v>
      </c>
      <c r="E9382" s="3">
        <f>HYPERLINK("https://sao.dolgi.msk.ru/account/1404274643/", 1404274643)</f>
        <v>1404274643</v>
      </c>
      <c r="F9382">
        <v>-2888.8</v>
      </c>
    </row>
    <row r="9383" spans="1:6" hidden="1" x14ac:dyDescent="0.25">
      <c r="A9383" t="s">
        <v>694</v>
      </c>
      <c r="B9383" t="s">
        <v>26</v>
      </c>
      <c r="E9383" s="3">
        <f>HYPERLINK("https://sao.dolgi.msk.ru/account/1404274694/", 1404274694)</f>
        <v>1404274694</v>
      </c>
      <c r="F9383">
        <v>-1460.57</v>
      </c>
    </row>
    <row r="9384" spans="1:6" hidden="1" x14ac:dyDescent="0.25">
      <c r="A9384" t="s">
        <v>694</v>
      </c>
      <c r="B9384" t="s">
        <v>27</v>
      </c>
      <c r="E9384" s="3">
        <f>HYPERLINK("https://sao.dolgi.msk.ru/account/1404277174/", 1404277174)</f>
        <v>1404277174</v>
      </c>
      <c r="F9384">
        <v>-510.73</v>
      </c>
    </row>
    <row r="9385" spans="1:6" hidden="1" x14ac:dyDescent="0.25">
      <c r="A9385" t="s">
        <v>694</v>
      </c>
      <c r="B9385" t="s">
        <v>27</v>
      </c>
      <c r="E9385" s="3">
        <f>HYPERLINK("https://sao.dolgi.msk.ru/account/1404279073/", 1404279073)</f>
        <v>1404279073</v>
      </c>
      <c r="F9385">
        <v>-1532.21</v>
      </c>
    </row>
    <row r="9386" spans="1:6" hidden="1" x14ac:dyDescent="0.25">
      <c r="A9386" t="s">
        <v>694</v>
      </c>
      <c r="B9386" t="s">
        <v>28</v>
      </c>
      <c r="E9386" s="3">
        <f>HYPERLINK("https://sao.dolgi.msk.ru/account/1404273755/", 1404273755)</f>
        <v>1404273755</v>
      </c>
      <c r="F9386">
        <v>-2448.41</v>
      </c>
    </row>
    <row r="9387" spans="1:6" hidden="1" x14ac:dyDescent="0.25">
      <c r="A9387" t="s">
        <v>694</v>
      </c>
      <c r="B9387" t="s">
        <v>29</v>
      </c>
      <c r="E9387" s="3">
        <f>HYPERLINK("https://sao.dolgi.msk.ru/account/1404274491/", 1404274491)</f>
        <v>1404274491</v>
      </c>
      <c r="F9387">
        <v>-2865.68</v>
      </c>
    </row>
    <row r="9388" spans="1:6" x14ac:dyDescent="0.25">
      <c r="A9388" t="s">
        <v>694</v>
      </c>
      <c r="B9388" t="s">
        <v>30</v>
      </c>
      <c r="C9388" s="5" t="str">
        <f t="shared" ref="C9388:C9389" si="411">" кв. "&amp;B9388</f>
        <v xml:space="preserve"> кв. 26</v>
      </c>
      <c r="D9388" s="5" t="str">
        <f>CONCATENATE(A9388,C9388)</f>
        <v>Прибрежный пр., дом 7 кв. 26</v>
      </c>
      <c r="E9388" s="3">
        <f>HYPERLINK("https://sao.dolgi.msk.ru/account/1404278097/", 1404278097)</f>
        <v>1404278097</v>
      </c>
      <c r="F9388">
        <v>993.18</v>
      </c>
    </row>
    <row r="9389" spans="1:6" x14ac:dyDescent="0.25">
      <c r="A9389" t="s">
        <v>694</v>
      </c>
      <c r="B9389" t="s">
        <v>31</v>
      </c>
      <c r="C9389" s="5" t="str">
        <f t="shared" si="411"/>
        <v xml:space="preserve"> кв. 27</v>
      </c>
      <c r="D9389" s="5" t="str">
        <f>CONCATENATE(A9389,C9389)</f>
        <v>Прибрежный пр., дом 7 кв. 27</v>
      </c>
      <c r="E9389" s="3">
        <f>HYPERLINK("https://sao.dolgi.msk.ru/account/1404273501/", 1404273501)</f>
        <v>1404273501</v>
      </c>
      <c r="F9389">
        <v>1404.37</v>
      </c>
    </row>
    <row r="9390" spans="1:6" hidden="1" x14ac:dyDescent="0.25">
      <c r="A9390" t="s">
        <v>694</v>
      </c>
      <c r="B9390" t="s">
        <v>32</v>
      </c>
      <c r="E9390" s="3">
        <f>HYPERLINK("https://sao.dolgi.msk.ru/account/1404276673/", 1404276673)</f>
        <v>1404276673</v>
      </c>
      <c r="F9390">
        <v>0</v>
      </c>
    </row>
    <row r="9391" spans="1:6" hidden="1" x14ac:dyDescent="0.25">
      <c r="A9391" t="s">
        <v>694</v>
      </c>
      <c r="B9391" t="s">
        <v>33</v>
      </c>
      <c r="E9391" s="3">
        <f>HYPERLINK("https://sao.dolgi.msk.ru/account/1404274838/", 1404274838)</f>
        <v>1404274838</v>
      </c>
      <c r="F9391">
        <v>0</v>
      </c>
    </row>
    <row r="9392" spans="1:6" hidden="1" x14ac:dyDescent="0.25">
      <c r="A9392" t="s">
        <v>694</v>
      </c>
      <c r="B9392" t="s">
        <v>34</v>
      </c>
      <c r="E9392" s="3">
        <f>HYPERLINK("https://sao.dolgi.msk.ru/account/1404278484/", 1404278484)</f>
        <v>1404278484</v>
      </c>
      <c r="F9392">
        <v>0</v>
      </c>
    </row>
    <row r="9393" spans="1:6" hidden="1" x14ac:dyDescent="0.25">
      <c r="A9393" t="s">
        <v>694</v>
      </c>
      <c r="B9393" t="s">
        <v>35</v>
      </c>
      <c r="E9393" s="3">
        <f>HYPERLINK("https://sao.dolgi.msk.ru/account/1404273982/", 1404273982)</f>
        <v>1404273982</v>
      </c>
      <c r="F9393">
        <v>0</v>
      </c>
    </row>
    <row r="9394" spans="1:6" hidden="1" x14ac:dyDescent="0.25">
      <c r="A9394" t="s">
        <v>694</v>
      </c>
      <c r="B9394" t="s">
        <v>36</v>
      </c>
      <c r="E9394" s="3">
        <f>HYPERLINK("https://sao.dolgi.msk.ru/account/1404274774/", 1404274774)</f>
        <v>1404274774</v>
      </c>
      <c r="F9394">
        <v>0</v>
      </c>
    </row>
    <row r="9395" spans="1:6" hidden="1" x14ac:dyDescent="0.25">
      <c r="A9395" t="s">
        <v>694</v>
      </c>
      <c r="B9395" t="s">
        <v>37</v>
      </c>
      <c r="E9395" s="3">
        <f>HYPERLINK("https://sao.dolgi.msk.ru/account/1404275013/", 1404275013)</f>
        <v>1404275013</v>
      </c>
      <c r="F9395">
        <v>-2408.29</v>
      </c>
    </row>
    <row r="9396" spans="1:6" x14ac:dyDescent="0.25">
      <c r="A9396" t="s">
        <v>694</v>
      </c>
      <c r="B9396" t="s">
        <v>38</v>
      </c>
      <c r="C9396" s="5" t="str">
        <f t="shared" ref="C9396:C9397" si="412">" кв. "&amp;B9396</f>
        <v xml:space="preserve"> кв. 34</v>
      </c>
      <c r="D9396" s="5" t="str">
        <f>CONCATENATE(A9396,C9396)</f>
        <v>Прибрежный пр., дом 7 кв. 34</v>
      </c>
      <c r="E9396" s="3">
        <f>HYPERLINK("https://sao.dolgi.msk.ru/account/1404279161/", 1404279161)</f>
        <v>1404279161</v>
      </c>
      <c r="F9396">
        <v>993.18</v>
      </c>
    </row>
    <row r="9397" spans="1:6" x14ac:dyDescent="0.25">
      <c r="A9397" t="s">
        <v>694</v>
      </c>
      <c r="B9397" t="s">
        <v>39</v>
      </c>
      <c r="C9397" s="5" t="str">
        <f t="shared" si="412"/>
        <v xml:space="preserve"> кв. 35</v>
      </c>
      <c r="D9397" s="5" t="str">
        <f>CONCATENATE(A9397,C9397)</f>
        <v>Прибрежный пр., дом 7 кв. 35</v>
      </c>
      <c r="E9397" s="3">
        <f>HYPERLINK("https://sao.dolgi.msk.ru/account/1404279209/", 1404279209)</f>
        <v>1404279209</v>
      </c>
      <c r="F9397">
        <v>1426.51</v>
      </c>
    </row>
    <row r="9398" spans="1:6" hidden="1" x14ac:dyDescent="0.25">
      <c r="A9398" t="s">
        <v>694</v>
      </c>
      <c r="B9398" t="s">
        <v>40</v>
      </c>
      <c r="E9398" s="3">
        <f>HYPERLINK("https://sao.dolgi.msk.ru/account/1404277684/", 1404277684)</f>
        <v>1404277684</v>
      </c>
      <c r="F9398">
        <v>0</v>
      </c>
    </row>
    <row r="9399" spans="1:6" hidden="1" x14ac:dyDescent="0.25">
      <c r="A9399" t="s">
        <v>694</v>
      </c>
      <c r="B9399" t="s">
        <v>41</v>
      </c>
      <c r="E9399" s="3">
        <f>HYPERLINK("https://sao.dolgi.msk.ru/account/1404275806/", 1404275806)</f>
        <v>1404275806</v>
      </c>
      <c r="F9399">
        <v>-2870.3</v>
      </c>
    </row>
    <row r="9400" spans="1:6" hidden="1" x14ac:dyDescent="0.25">
      <c r="A9400" t="s">
        <v>694</v>
      </c>
      <c r="B9400" t="s">
        <v>42</v>
      </c>
      <c r="E9400" s="3">
        <f>HYPERLINK("https://sao.dolgi.msk.ru/account/1404278943/", 1404278943)</f>
        <v>1404278943</v>
      </c>
      <c r="F9400">
        <v>-1455.95</v>
      </c>
    </row>
    <row r="9401" spans="1:6" hidden="1" x14ac:dyDescent="0.25">
      <c r="A9401" t="s">
        <v>694</v>
      </c>
      <c r="B9401" t="s">
        <v>43</v>
      </c>
      <c r="E9401" s="3">
        <f>HYPERLINK("https://sao.dolgi.msk.ru/account/1404274934/", 1404274934)</f>
        <v>1404274934</v>
      </c>
      <c r="F9401">
        <v>0</v>
      </c>
    </row>
    <row r="9402" spans="1:6" x14ac:dyDescent="0.25">
      <c r="A9402" t="s">
        <v>694</v>
      </c>
      <c r="B9402" t="s">
        <v>44</v>
      </c>
      <c r="C9402" s="5" t="str">
        <f t="shared" ref="C9402:C9404" si="413">" кв. "&amp;B9402</f>
        <v xml:space="preserve"> кв. 40</v>
      </c>
      <c r="D9402" s="5" t="str">
        <f>CONCATENATE(A9402,C9402)</f>
        <v>Прибрежный пр., дом 7 кв. 40</v>
      </c>
      <c r="E9402" s="3">
        <f>HYPERLINK("https://sao.dolgi.msk.ru/account/1404273413/", 1404273413)</f>
        <v>1404273413</v>
      </c>
      <c r="F9402">
        <v>291.39999999999998</v>
      </c>
    </row>
    <row r="9403" spans="1:6" x14ac:dyDescent="0.25">
      <c r="A9403" t="s">
        <v>694</v>
      </c>
      <c r="B9403" t="s">
        <v>44</v>
      </c>
      <c r="C9403" s="5" t="str">
        <f t="shared" si="413"/>
        <v xml:space="preserve"> кв. 40</v>
      </c>
      <c r="D9403" s="5" t="str">
        <f>CONCATENATE(A9403,C9403)</f>
        <v>Прибрежный пр., дом 7 кв. 40</v>
      </c>
      <c r="E9403" s="3">
        <f>HYPERLINK("https://sao.dolgi.msk.ru/account/1404275654/", 1404275654)</f>
        <v>1404275654</v>
      </c>
      <c r="F9403">
        <v>743.4</v>
      </c>
    </row>
    <row r="9404" spans="1:6" x14ac:dyDescent="0.25">
      <c r="A9404" t="s">
        <v>694</v>
      </c>
      <c r="B9404" t="s">
        <v>44</v>
      </c>
      <c r="C9404" s="5" t="str">
        <f t="shared" si="413"/>
        <v xml:space="preserve"> кв. 40</v>
      </c>
      <c r="D9404" s="5" t="str">
        <f>CONCATENATE(A9404,C9404)</f>
        <v>Прибрежный пр., дом 7 кв. 40</v>
      </c>
      <c r="E9404" s="3">
        <f>HYPERLINK("https://sao.dolgi.msk.ru/account/1404277238/", 1404277238)</f>
        <v>1404277238</v>
      </c>
      <c r="F9404">
        <v>679.16</v>
      </c>
    </row>
    <row r="9405" spans="1:6" hidden="1" x14ac:dyDescent="0.25">
      <c r="A9405" t="s">
        <v>694</v>
      </c>
      <c r="B9405" t="s">
        <v>45</v>
      </c>
      <c r="E9405" s="3">
        <f>HYPERLINK("https://sao.dolgi.msk.ru/account/1404278038/", 1404278038)</f>
        <v>1404278038</v>
      </c>
      <c r="F9405">
        <v>0</v>
      </c>
    </row>
    <row r="9406" spans="1:6" hidden="1" x14ac:dyDescent="0.25">
      <c r="A9406" t="s">
        <v>694</v>
      </c>
      <c r="B9406" t="s">
        <v>46</v>
      </c>
      <c r="E9406" s="3">
        <f>HYPERLINK("https://sao.dolgi.msk.ru/account/1404278759/", 1404278759)</f>
        <v>1404278759</v>
      </c>
      <c r="F9406">
        <v>-1483.68</v>
      </c>
    </row>
    <row r="9407" spans="1:6" hidden="1" x14ac:dyDescent="0.25">
      <c r="A9407" t="s">
        <v>694</v>
      </c>
      <c r="B9407" t="s">
        <v>47</v>
      </c>
      <c r="E9407" s="3">
        <f>HYPERLINK("https://sao.dolgi.msk.ru/account/1404278249/", 1404278249)</f>
        <v>1404278249</v>
      </c>
      <c r="F9407">
        <v>-2066.06</v>
      </c>
    </row>
    <row r="9408" spans="1:6" hidden="1" x14ac:dyDescent="0.25">
      <c r="A9408" t="s">
        <v>694</v>
      </c>
      <c r="B9408" t="s">
        <v>48</v>
      </c>
      <c r="E9408" s="3">
        <f>HYPERLINK("https://sao.dolgi.msk.ru/account/1404276622/", 1404276622)</f>
        <v>1404276622</v>
      </c>
      <c r="F9408">
        <v>-2153.89</v>
      </c>
    </row>
    <row r="9409" spans="1:6" x14ac:dyDescent="0.25">
      <c r="A9409" t="s">
        <v>694</v>
      </c>
      <c r="B9409" t="s">
        <v>49</v>
      </c>
      <c r="C9409" s="5" t="str">
        <f>" кв. "&amp;B9409</f>
        <v xml:space="preserve"> кв. 45</v>
      </c>
      <c r="D9409" s="5" t="str">
        <f>CONCATENATE(A9409,C9409)</f>
        <v>Прибрежный пр., дом 7 кв. 45</v>
      </c>
      <c r="E9409" s="3">
        <f>HYPERLINK("https://sao.dolgi.msk.ru/account/1404274627/", 1404274627)</f>
        <v>1404274627</v>
      </c>
      <c r="F9409">
        <v>1986.36</v>
      </c>
    </row>
    <row r="9410" spans="1:6" hidden="1" x14ac:dyDescent="0.25">
      <c r="A9410" t="s">
        <v>694</v>
      </c>
      <c r="B9410" t="s">
        <v>50</v>
      </c>
      <c r="E9410" s="3">
        <f>HYPERLINK("https://sao.dolgi.msk.ru/account/1404273819/", 1404273819)</f>
        <v>1404273819</v>
      </c>
      <c r="F9410">
        <v>-1469.81</v>
      </c>
    </row>
    <row r="9411" spans="1:6" x14ac:dyDescent="0.25">
      <c r="A9411" t="s">
        <v>694</v>
      </c>
      <c r="B9411" t="s">
        <v>51</v>
      </c>
      <c r="C9411" s="5" t="str">
        <f t="shared" ref="C9411:C9412" si="414">" кв. "&amp;B9411</f>
        <v xml:space="preserve"> кв. 47</v>
      </c>
      <c r="D9411" s="5" t="str">
        <f>CONCATENATE(A9411,C9411)</f>
        <v>Прибрежный пр., дом 7 кв. 47</v>
      </c>
      <c r="E9411" s="3">
        <f>HYPERLINK("https://sao.dolgi.msk.ru/account/1404275101/", 1404275101)</f>
        <v>1404275101</v>
      </c>
      <c r="F9411">
        <v>1404.37</v>
      </c>
    </row>
    <row r="9412" spans="1:6" x14ac:dyDescent="0.25">
      <c r="A9412" t="s">
        <v>694</v>
      </c>
      <c r="B9412" t="s">
        <v>52</v>
      </c>
      <c r="C9412" s="5" t="str">
        <f t="shared" si="414"/>
        <v xml:space="preserve"> кв. 48</v>
      </c>
      <c r="D9412" s="5" t="str">
        <f>CONCATENATE(A9412,C9412)</f>
        <v>Прибрежный пр., дом 7 кв. 48</v>
      </c>
      <c r="E9412" s="3">
        <f>HYPERLINK("https://sao.dolgi.msk.ru/account/1404276569/", 1404276569)</f>
        <v>1404276569</v>
      </c>
      <c r="F9412">
        <v>1995.85</v>
      </c>
    </row>
    <row r="9413" spans="1:6" hidden="1" x14ac:dyDescent="0.25">
      <c r="A9413" t="s">
        <v>694</v>
      </c>
      <c r="B9413" t="s">
        <v>53</v>
      </c>
      <c r="E9413" s="3">
        <f>HYPERLINK("https://sao.dolgi.msk.ru/account/1404274993/", 1404274993)</f>
        <v>1404274993</v>
      </c>
      <c r="F9413">
        <v>-2120.2800000000002</v>
      </c>
    </row>
    <row r="9414" spans="1:6" x14ac:dyDescent="0.25">
      <c r="A9414" t="s">
        <v>694</v>
      </c>
      <c r="B9414" t="s">
        <v>54</v>
      </c>
      <c r="C9414" s="5" t="str">
        <f t="shared" ref="C9414:C9415" si="415">" кв. "&amp;B9414</f>
        <v xml:space="preserve"> кв. 50</v>
      </c>
      <c r="D9414" s="5" t="str">
        <f>CONCATENATE(A9414,C9414)</f>
        <v>Прибрежный пр., дом 7 кв. 50</v>
      </c>
      <c r="E9414" s="3">
        <f>HYPERLINK("https://sao.dolgi.msk.ru/account/1404277449/", 1404277449)</f>
        <v>1404277449</v>
      </c>
      <c r="F9414">
        <v>837.4</v>
      </c>
    </row>
    <row r="9415" spans="1:6" x14ac:dyDescent="0.25">
      <c r="A9415" t="s">
        <v>694</v>
      </c>
      <c r="B9415" t="s">
        <v>55</v>
      </c>
      <c r="C9415" s="5" t="str">
        <f t="shared" si="415"/>
        <v xml:space="preserve"> кв. 51</v>
      </c>
      <c r="D9415" s="5" t="str">
        <f>CONCATENATE(A9415,C9415)</f>
        <v>Прибрежный пр., дом 7 кв. 51</v>
      </c>
      <c r="E9415" s="3">
        <f>HYPERLINK("https://sao.dolgi.msk.ru/account/1404277107/", 1404277107)</f>
        <v>1404277107</v>
      </c>
      <c r="F9415">
        <v>1173.95</v>
      </c>
    </row>
    <row r="9416" spans="1:6" hidden="1" x14ac:dyDescent="0.25">
      <c r="A9416" t="s">
        <v>694</v>
      </c>
      <c r="B9416" t="s">
        <v>56</v>
      </c>
      <c r="E9416" s="3">
        <f>HYPERLINK("https://sao.dolgi.msk.ru/account/1404278062/", 1404278062)</f>
        <v>1404278062</v>
      </c>
      <c r="F9416">
        <v>-2564.06</v>
      </c>
    </row>
    <row r="9417" spans="1:6" hidden="1" x14ac:dyDescent="0.25">
      <c r="A9417" t="s">
        <v>694</v>
      </c>
      <c r="B9417" t="s">
        <v>57</v>
      </c>
      <c r="E9417" s="3">
        <f>HYPERLINK("https://sao.dolgi.msk.ru/account/1404278652/", 1404278652)</f>
        <v>1404278652</v>
      </c>
      <c r="F9417">
        <v>-2921.16</v>
      </c>
    </row>
    <row r="9418" spans="1:6" x14ac:dyDescent="0.25">
      <c r="A9418" t="s">
        <v>694</v>
      </c>
      <c r="B9418" t="s">
        <v>58</v>
      </c>
      <c r="C9418" s="5" t="str">
        <f>" кв. "&amp;B9418</f>
        <v xml:space="preserve"> кв. 54</v>
      </c>
      <c r="D9418" s="5" t="str">
        <f>CONCATENATE(A9418,C9418)</f>
        <v>Прибрежный пр., дом 7 кв. 54</v>
      </c>
      <c r="E9418" s="3">
        <f>HYPERLINK("https://sao.dolgi.msk.ru/account/1404273296/", 1404273296)</f>
        <v>1404273296</v>
      </c>
      <c r="F9418">
        <v>999.51</v>
      </c>
    </row>
    <row r="9419" spans="1:6" hidden="1" x14ac:dyDescent="0.25">
      <c r="A9419" t="s">
        <v>694</v>
      </c>
      <c r="B9419" t="s">
        <v>59</v>
      </c>
      <c r="E9419" s="3">
        <f>HYPERLINK("https://sao.dolgi.msk.ru/account/1404276307/", 1404276307)</f>
        <v>1404276307</v>
      </c>
      <c r="F9419">
        <v>-1825.32</v>
      </c>
    </row>
    <row r="9420" spans="1:6" hidden="1" x14ac:dyDescent="0.25">
      <c r="A9420" t="s">
        <v>694</v>
      </c>
      <c r="B9420" t="s">
        <v>60</v>
      </c>
      <c r="E9420" s="3">
        <f>HYPERLINK("https://sao.dolgi.msk.ru/account/1404274723/", 1404274723)</f>
        <v>1404274723</v>
      </c>
      <c r="F9420">
        <v>-1764.72</v>
      </c>
    </row>
    <row r="9421" spans="1:6" hidden="1" x14ac:dyDescent="0.25">
      <c r="A9421" t="s">
        <v>694</v>
      </c>
      <c r="B9421" t="s">
        <v>61</v>
      </c>
      <c r="E9421" s="3">
        <f>HYPERLINK("https://sao.dolgi.msk.ru/account/1404275515/", 1404275515)</f>
        <v>1404275515</v>
      </c>
      <c r="F9421">
        <v>0</v>
      </c>
    </row>
    <row r="9422" spans="1:6" hidden="1" x14ac:dyDescent="0.25">
      <c r="A9422" t="s">
        <v>694</v>
      </c>
      <c r="B9422" t="s">
        <v>62</v>
      </c>
      <c r="E9422" s="3">
        <f>HYPERLINK("https://sao.dolgi.msk.ru/account/1404277908/", 1404277908)</f>
        <v>1404277908</v>
      </c>
      <c r="F9422">
        <v>-1474.44</v>
      </c>
    </row>
    <row r="9423" spans="1:6" hidden="1" x14ac:dyDescent="0.25">
      <c r="A9423" t="s">
        <v>694</v>
      </c>
      <c r="B9423" t="s">
        <v>63</v>
      </c>
      <c r="E9423" s="3">
        <f>HYPERLINK("https://sao.dolgi.msk.ru/account/1404273309/", 1404273309)</f>
        <v>1404273309</v>
      </c>
      <c r="F9423">
        <v>-1706.31</v>
      </c>
    </row>
    <row r="9424" spans="1:6" hidden="1" x14ac:dyDescent="0.25">
      <c r="A9424" t="s">
        <v>694</v>
      </c>
      <c r="B9424" t="s">
        <v>64</v>
      </c>
      <c r="E9424" s="3">
        <f>HYPERLINK("https://sao.dolgi.msk.ru/account/1404273325/", 1404273325)</f>
        <v>1404273325</v>
      </c>
      <c r="F9424">
        <v>-1918.72</v>
      </c>
    </row>
    <row r="9425" spans="1:6" x14ac:dyDescent="0.25">
      <c r="A9425" t="s">
        <v>694</v>
      </c>
      <c r="B9425" t="s">
        <v>65</v>
      </c>
      <c r="C9425" s="5" t="str">
        <f>" кв. "&amp;B9425</f>
        <v xml:space="preserve"> кв. 61</v>
      </c>
      <c r="D9425" s="5" t="str">
        <f>CONCATENATE(A9425,C9425)</f>
        <v>Прибрежный пр., дом 7 кв. 61</v>
      </c>
      <c r="E9425" s="3">
        <f>HYPERLINK("https://sao.dolgi.msk.ru/account/1404276315/", 1404276315)</f>
        <v>1404276315</v>
      </c>
      <c r="F9425">
        <v>2011.67</v>
      </c>
    </row>
    <row r="9426" spans="1:6" hidden="1" x14ac:dyDescent="0.25">
      <c r="A9426" t="s">
        <v>694</v>
      </c>
      <c r="B9426" t="s">
        <v>66</v>
      </c>
      <c r="E9426" s="3">
        <f>HYPERLINK("https://sao.dolgi.msk.ru/account/1404277916/", 1404277916)</f>
        <v>1404277916</v>
      </c>
      <c r="F9426">
        <v>0</v>
      </c>
    </row>
    <row r="9427" spans="1:6" x14ac:dyDescent="0.25">
      <c r="A9427" t="s">
        <v>694</v>
      </c>
      <c r="B9427" t="s">
        <v>67</v>
      </c>
      <c r="C9427" s="5" t="str">
        <f>" кв. "&amp;B9427</f>
        <v xml:space="preserve"> кв. 63</v>
      </c>
      <c r="D9427" s="5" t="str">
        <f>CONCATENATE(A9427,C9427)</f>
        <v>Прибрежный пр., дом 7 кв. 63</v>
      </c>
      <c r="E9427" s="3">
        <f>HYPERLINK("https://sao.dolgi.msk.ru/account/1404277115/", 1404277115)</f>
        <v>1404277115</v>
      </c>
      <c r="F9427">
        <v>1394.88</v>
      </c>
    </row>
    <row r="9428" spans="1:6" hidden="1" x14ac:dyDescent="0.25">
      <c r="A9428" t="s">
        <v>694</v>
      </c>
      <c r="B9428" t="s">
        <v>68</v>
      </c>
      <c r="E9428" s="3">
        <f>HYPERLINK("https://sao.dolgi.msk.ru/account/1404276008/", 1404276008)</f>
        <v>1404276008</v>
      </c>
      <c r="F9428">
        <v>-2884.17</v>
      </c>
    </row>
    <row r="9429" spans="1:6" x14ac:dyDescent="0.25">
      <c r="A9429" t="s">
        <v>694</v>
      </c>
      <c r="B9429" t="s">
        <v>69</v>
      </c>
      <c r="C9429" s="5" t="str">
        <f>" кв. "&amp;B9429</f>
        <v xml:space="preserve"> кв. 65</v>
      </c>
      <c r="D9429" s="5" t="str">
        <f>CONCATENATE(A9429,C9429)</f>
        <v>Прибрежный пр., дом 7 кв. 65</v>
      </c>
      <c r="E9429" s="3">
        <f>HYPERLINK("https://sao.dolgi.msk.ru/account/1404276323/", 1404276323)</f>
        <v>1404276323</v>
      </c>
      <c r="F9429">
        <v>1992.69</v>
      </c>
    </row>
    <row r="9430" spans="1:6" hidden="1" x14ac:dyDescent="0.25">
      <c r="A9430" t="s">
        <v>694</v>
      </c>
      <c r="B9430" t="s">
        <v>70</v>
      </c>
      <c r="E9430" s="3">
        <f>HYPERLINK("https://sao.dolgi.msk.ru/account/1404277123/", 1404277123)</f>
        <v>1404277123</v>
      </c>
      <c r="F9430">
        <v>-1465.19</v>
      </c>
    </row>
    <row r="9431" spans="1:6" hidden="1" x14ac:dyDescent="0.25">
      <c r="A9431" t="s">
        <v>694</v>
      </c>
      <c r="B9431" t="s">
        <v>71</v>
      </c>
      <c r="E9431" s="3">
        <f>HYPERLINK("https://sao.dolgi.msk.ru/account/1404273333/", 1404273333)</f>
        <v>1404273333</v>
      </c>
      <c r="F9431">
        <v>-646.36</v>
      </c>
    </row>
    <row r="9432" spans="1:6" hidden="1" x14ac:dyDescent="0.25">
      <c r="A9432" t="s">
        <v>694</v>
      </c>
      <c r="B9432" t="s">
        <v>72</v>
      </c>
      <c r="E9432" s="3">
        <f>HYPERLINK("https://sao.dolgi.msk.ru/account/1404274168/", 1404274168)</f>
        <v>1404274168</v>
      </c>
      <c r="F9432">
        <v>0</v>
      </c>
    </row>
    <row r="9433" spans="1:6" hidden="1" x14ac:dyDescent="0.25">
      <c r="A9433" t="s">
        <v>694</v>
      </c>
      <c r="B9433" t="s">
        <v>73</v>
      </c>
      <c r="E9433" s="3">
        <f>HYPERLINK("https://sao.dolgi.msk.ru/account/1404277131/", 1404277131)</f>
        <v>1404277131</v>
      </c>
      <c r="F9433">
        <v>-2769</v>
      </c>
    </row>
    <row r="9434" spans="1:6" hidden="1" x14ac:dyDescent="0.25">
      <c r="A9434" t="s">
        <v>694</v>
      </c>
      <c r="B9434" t="s">
        <v>74</v>
      </c>
      <c r="E9434" s="3">
        <f>HYPERLINK("https://sao.dolgi.msk.ru/account/1404274176/", 1404274176)</f>
        <v>1404274176</v>
      </c>
      <c r="F9434">
        <v>-1460.57</v>
      </c>
    </row>
    <row r="9435" spans="1:6" hidden="1" x14ac:dyDescent="0.25">
      <c r="A9435" t="s">
        <v>694</v>
      </c>
      <c r="B9435" t="s">
        <v>75</v>
      </c>
      <c r="E9435" s="3">
        <f>HYPERLINK("https://sao.dolgi.msk.ru/account/1404274184/", 1404274184)</f>
        <v>1404274184</v>
      </c>
      <c r="F9435">
        <v>-1026.08</v>
      </c>
    </row>
    <row r="9436" spans="1:6" hidden="1" x14ac:dyDescent="0.25">
      <c r="A9436" t="s">
        <v>694</v>
      </c>
      <c r="B9436" t="s">
        <v>76</v>
      </c>
      <c r="E9436" s="3">
        <f>HYPERLINK("https://sao.dolgi.msk.ru/account/1404274731/", 1404274731)</f>
        <v>1404274731</v>
      </c>
      <c r="F9436">
        <v>-2130.7800000000002</v>
      </c>
    </row>
    <row r="9437" spans="1:6" hidden="1" x14ac:dyDescent="0.25">
      <c r="A9437" t="s">
        <v>694</v>
      </c>
      <c r="B9437" t="s">
        <v>77</v>
      </c>
      <c r="E9437" s="3">
        <f>HYPERLINK("https://sao.dolgi.msk.ru/account/1404278687/", 1404278687)</f>
        <v>1404278687</v>
      </c>
      <c r="F9437">
        <v>-2916.53</v>
      </c>
    </row>
    <row r="9438" spans="1:6" hidden="1" x14ac:dyDescent="0.25">
      <c r="A9438" t="s">
        <v>694</v>
      </c>
      <c r="B9438" t="s">
        <v>78</v>
      </c>
      <c r="E9438" s="3">
        <f>HYPERLINK("https://sao.dolgi.msk.ru/account/1404274758/", 1404274758)</f>
        <v>1404274758</v>
      </c>
      <c r="F9438">
        <v>-1460.57</v>
      </c>
    </row>
    <row r="9439" spans="1:6" x14ac:dyDescent="0.25">
      <c r="A9439" t="s">
        <v>694</v>
      </c>
      <c r="B9439" t="s">
        <v>79</v>
      </c>
      <c r="C9439" s="5" t="str">
        <f>" кв. "&amp;B9439</f>
        <v xml:space="preserve"> кв. 75</v>
      </c>
      <c r="D9439" s="5" t="str">
        <f>CONCATENATE(A9439,C9439)</f>
        <v>Прибрежный пр., дом 7 кв. 75</v>
      </c>
      <c r="E9439" s="3">
        <f>HYPERLINK("https://sao.dolgi.msk.ru/account/1404275523/", 1404275523)</f>
        <v>1404275523</v>
      </c>
      <c r="F9439">
        <v>1394.88</v>
      </c>
    </row>
    <row r="9440" spans="1:6" hidden="1" x14ac:dyDescent="0.25">
      <c r="A9440" t="s">
        <v>694</v>
      </c>
      <c r="B9440" t="s">
        <v>80</v>
      </c>
      <c r="E9440" s="3">
        <f>HYPERLINK("https://sao.dolgi.msk.ru/account/1404276227/", 1404276227)</f>
        <v>1404276227</v>
      </c>
      <c r="F9440">
        <v>0</v>
      </c>
    </row>
    <row r="9441" spans="1:6" hidden="1" x14ac:dyDescent="0.25">
      <c r="A9441" t="s">
        <v>694</v>
      </c>
      <c r="B9441" t="s">
        <v>81</v>
      </c>
      <c r="E9441" s="3">
        <f>HYPERLINK("https://sao.dolgi.msk.ru/account/1404275486/", 1404275486)</f>
        <v>1404275486</v>
      </c>
      <c r="F9441">
        <v>0</v>
      </c>
    </row>
    <row r="9442" spans="1:6" hidden="1" x14ac:dyDescent="0.25">
      <c r="A9442" t="s">
        <v>694</v>
      </c>
      <c r="B9442" t="s">
        <v>82</v>
      </c>
      <c r="E9442" s="3">
        <f>HYPERLINK("https://sao.dolgi.msk.ru/account/1404278636/", 1404278636)</f>
        <v>1404278636</v>
      </c>
      <c r="F9442">
        <v>-0.36</v>
      </c>
    </row>
    <row r="9443" spans="1:6" hidden="1" x14ac:dyDescent="0.25">
      <c r="A9443" t="s">
        <v>694</v>
      </c>
      <c r="B9443" t="s">
        <v>83</v>
      </c>
      <c r="E9443" s="3">
        <f>HYPERLINK("https://sao.dolgi.msk.ru/account/1404277879/", 1404277879)</f>
        <v>1404277879</v>
      </c>
      <c r="F9443">
        <v>-1261.83</v>
      </c>
    </row>
    <row r="9444" spans="1:6" x14ac:dyDescent="0.25">
      <c r="A9444" t="s">
        <v>694</v>
      </c>
      <c r="B9444" t="s">
        <v>84</v>
      </c>
      <c r="C9444" s="5" t="str">
        <f t="shared" ref="C9444:C9445" si="416">" кв. "&amp;B9444</f>
        <v xml:space="preserve"> кв. 80</v>
      </c>
      <c r="D9444" s="5" t="str">
        <f>CONCATENATE(A9444,C9444)</f>
        <v>Прибрежный пр., дом 7 кв. 80</v>
      </c>
      <c r="E9444" s="3">
        <f>HYPERLINK("https://sao.dolgi.msk.ru/account/1404274133/", 1404274133)</f>
        <v>1404274133</v>
      </c>
      <c r="F9444">
        <v>1967.39</v>
      </c>
    </row>
    <row r="9445" spans="1:6" x14ac:dyDescent="0.25">
      <c r="A9445" t="s">
        <v>694</v>
      </c>
      <c r="B9445" t="s">
        <v>85</v>
      </c>
      <c r="C9445" s="5" t="str">
        <f t="shared" si="416"/>
        <v xml:space="preserve"> кв. 81</v>
      </c>
      <c r="D9445" s="5" t="str">
        <f>CONCATENATE(A9445,C9445)</f>
        <v>Прибрежный пр., дом 7 кв. 81</v>
      </c>
      <c r="E9445" s="3">
        <f>HYPERLINK("https://sao.dolgi.msk.ru/account/1404276243/", 1404276243)</f>
        <v>1404276243</v>
      </c>
      <c r="F9445">
        <v>1999.02</v>
      </c>
    </row>
    <row r="9446" spans="1:6" hidden="1" x14ac:dyDescent="0.25">
      <c r="A9446" t="s">
        <v>694</v>
      </c>
      <c r="B9446" t="s">
        <v>86</v>
      </c>
      <c r="E9446" s="3">
        <f>HYPERLINK("https://sao.dolgi.msk.ru/account/1404276251/", 1404276251)</f>
        <v>1404276251</v>
      </c>
      <c r="F9446">
        <v>0</v>
      </c>
    </row>
    <row r="9447" spans="1:6" hidden="1" x14ac:dyDescent="0.25">
      <c r="A9447" t="s">
        <v>694</v>
      </c>
      <c r="B9447" t="s">
        <v>87</v>
      </c>
      <c r="E9447" s="3">
        <f>HYPERLINK("https://sao.dolgi.msk.ru/account/1404273261/", 1404273261)</f>
        <v>1404273261</v>
      </c>
      <c r="F9447">
        <v>-1825.32</v>
      </c>
    </row>
    <row r="9448" spans="1:6" hidden="1" x14ac:dyDescent="0.25">
      <c r="A9448" t="s">
        <v>694</v>
      </c>
      <c r="B9448" t="s">
        <v>88</v>
      </c>
      <c r="E9448" s="3">
        <f>HYPERLINK("https://sao.dolgi.msk.ru/account/1404274141/", 1404274141)</f>
        <v>1404274141</v>
      </c>
      <c r="F9448">
        <v>-2163.12</v>
      </c>
    </row>
    <row r="9449" spans="1:6" hidden="1" x14ac:dyDescent="0.25">
      <c r="A9449" t="s">
        <v>694</v>
      </c>
      <c r="B9449" t="s">
        <v>89</v>
      </c>
      <c r="E9449" s="3">
        <f>HYPERLINK("https://sao.dolgi.msk.ru/account/1404277043/", 1404277043)</f>
        <v>1404277043</v>
      </c>
      <c r="F9449">
        <v>-1453.65</v>
      </c>
    </row>
    <row r="9450" spans="1:6" hidden="1" x14ac:dyDescent="0.25">
      <c r="A9450" t="s">
        <v>694</v>
      </c>
      <c r="B9450" t="s">
        <v>90</v>
      </c>
      <c r="E9450" s="3">
        <f>HYPERLINK("https://sao.dolgi.msk.ru/account/1404277051/", 1404277051)</f>
        <v>1404277051</v>
      </c>
      <c r="F9450">
        <v>0</v>
      </c>
    </row>
    <row r="9451" spans="1:6" x14ac:dyDescent="0.25">
      <c r="A9451" t="s">
        <v>694</v>
      </c>
      <c r="B9451" t="s">
        <v>91</v>
      </c>
      <c r="C9451" s="5" t="str">
        <f>" кв. "&amp;B9451</f>
        <v xml:space="preserve"> кв. 87</v>
      </c>
      <c r="D9451" s="5" t="str">
        <f>CONCATENATE(A9451,C9451)</f>
        <v>Прибрежный пр., дом 7 кв. 87</v>
      </c>
      <c r="E9451" s="3">
        <f>HYPERLINK("https://sao.dolgi.msk.ru/account/1404277078/", 1404277078)</f>
        <v>1404277078</v>
      </c>
      <c r="F9451">
        <v>869.82</v>
      </c>
    </row>
    <row r="9452" spans="1:6" hidden="1" x14ac:dyDescent="0.25">
      <c r="A9452" t="s">
        <v>694</v>
      </c>
      <c r="B9452" t="s">
        <v>92</v>
      </c>
      <c r="E9452" s="3">
        <f>HYPERLINK("https://sao.dolgi.msk.ru/account/1404275494/", 1404275494)</f>
        <v>1404275494</v>
      </c>
      <c r="F9452">
        <v>-2530.52</v>
      </c>
    </row>
    <row r="9453" spans="1:6" x14ac:dyDescent="0.25">
      <c r="A9453" t="s">
        <v>694</v>
      </c>
      <c r="B9453" t="s">
        <v>93</v>
      </c>
      <c r="C9453" s="5" t="str">
        <f t="shared" ref="C9453:C9454" si="417">" кв. "&amp;B9453</f>
        <v xml:space="preserve"> кв. 89</v>
      </c>
      <c r="D9453" s="5" t="str">
        <f>CONCATENATE(A9453,C9453)</f>
        <v>Прибрежный пр., дом 7 кв. 89</v>
      </c>
      <c r="E9453" s="3">
        <f>HYPERLINK("https://sao.dolgi.msk.ru/account/1404278644/", 1404278644)</f>
        <v>1404278644</v>
      </c>
      <c r="F9453">
        <v>1330.67</v>
      </c>
    </row>
    <row r="9454" spans="1:6" x14ac:dyDescent="0.25">
      <c r="A9454" t="s">
        <v>694</v>
      </c>
      <c r="B9454" t="s">
        <v>93</v>
      </c>
      <c r="C9454" s="5" t="str">
        <f t="shared" si="417"/>
        <v xml:space="preserve"> кв. 89</v>
      </c>
      <c r="D9454" s="5" t="str">
        <f>CONCATENATE(A9454,C9454)</f>
        <v>Прибрежный пр., дом 7 кв. 89</v>
      </c>
      <c r="E9454" s="3">
        <f>HYPERLINK("https://sao.dolgi.msk.ru/account/1404279145/", 1404279145)</f>
        <v>1404279145</v>
      </c>
      <c r="F9454">
        <v>665.18</v>
      </c>
    </row>
    <row r="9455" spans="1:6" hidden="1" x14ac:dyDescent="0.25">
      <c r="A9455" t="s">
        <v>694</v>
      </c>
      <c r="B9455" t="s">
        <v>94</v>
      </c>
      <c r="E9455" s="3">
        <f>HYPERLINK("https://sao.dolgi.msk.ru/account/1404276278/", 1404276278)</f>
        <v>1404276278</v>
      </c>
      <c r="F9455">
        <v>-764.13</v>
      </c>
    </row>
    <row r="9456" spans="1:6" hidden="1" x14ac:dyDescent="0.25">
      <c r="A9456" t="s">
        <v>694</v>
      </c>
      <c r="B9456" t="s">
        <v>95</v>
      </c>
      <c r="E9456" s="3">
        <f>HYPERLINK("https://sao.dolgi.msk.ru/account/1404274686/", 1404274686)</f>
        <v>1404274686</v>
      </c>
      <c r="F9456">
        <v>-1284.93</v>
      </c>
    </row>
    <row r="9457" spans="1:6" hidden="1" x14ac:dyDescent="0.25">
      <c r="A9457" t="s">
        <v>694</v>
      </c>
      <c r="B9457" t="s">
        <v>96</v>
      </c>
      <c r="E9457" s="3">
        <f>HYPERLINK("https://sao.dolgi.msk.ru/account/1404275507/", 1404275507)</f>
        <v>1404275507</v>
      </c>
      <c r="F9457">
        <v>-2638.81</v>
      </c>
    </row>
    <row r="9458" spans="1:6" x14ac:dyDescent="0.25">
      <c r="A9458" t="s">
        <v>694</v>
      </c>
      <c r="B9458" t="s">
        <v>97</v>
      </c>
      <c r="C9458" s="5" t="str">
        <f t="shared" ref="C9458:C9460" si="418">" кв. "&amp;B9458</f>
        <v xml:space="preserve"> кв. 93</v>
      </c>
      <c r="D9458" s="5" t="str">
        <f>CONCATENATE(A9458,C9458)</f>
        <v>Прибрежный пр., дом 7 кв. 93</v>
      </c>
      <c r="E9458" s="3">
        <f>HYPERLINK("https://sao.dolgi.msk.ru/account/1404276788/", 1404276788)</f>
        <v>1404276788</v>
      </c>
      <c r="F9458">
        <v>1999.02</v>
      </c>
    </row>
    <row r="9459" spans="1:6" x14ac:dyDescent="0.25">
      <c r="A9459" t="s">
        <v>694</v>
      </c>
      <c r="B9459" t="s">
        <v>98</v>
      </c>
      <c r="C9459" s="5" t="str">
        <f t="shared" si="418"/>
        <v xml:space="preserve"> кв. 94</v>
      </c>
      <c r="D9459" s="5" t="str">
        <f>CONCATENATE(A9459,C9459)</f>
        <v>Прибрежный пр., дом 7 кв. 94</v>
      </c>
      <c r="E9459" s="3">
        <f>HYPERLINK("https://sao.dolgi.msk.ru/account/1404279049/", 1404279049)</f>
        <v>1404279049</v>
      </c>
      <c r="F9459">
        <v>1005.83</v>
      </c>
    </row>
    <row r="9460" spans="1:6" x14ac:dyDescent="0.25">
      <c r="A9460" t="s">
        <v>694</v>
      </c>
      <c r="B9460" t="s">
        <v>99</v>
      </c>
      <c r="C9460" s="5" t="str">
        <f t="shared" si="418"/>
        <v xml:space="preserve"> кв. 95</v>
      </c>
      <c r="D9460" s="5" t="str">
        <f>CONCATENATE(A9460,C9460)</f>
        <v>Прибрежный пр., дом 7 кв. 95</v>
      </c>
      <c r="E9460" s="3">
        <f>HYPERLINK("https://sao.dolgi.msk.ru/account/1404279057/", 1404279057)</f>
        <v>1404279057</v>
      </c>
      <c r="F9460">
        <v>1398.05</v>
      </c>
    </row>
    <row r="9461" spans="1:6" hidden="1" x14ac:dyDescent="0.25">
      <c r="A9461" t="s">
        <v>694</v>
      </c>
      <c r="B9461" t="s">
        <v>100</v>
      </c>
      <c r="E9461" s="3">
        <f>HYPERLINK("https://sao.dolgi.msk.ru/account/1404278361/", 1404278361)</f>
        <v>1404278361</v>
      </c>
      <c r="F9461">
        <v>0</v>
      </c>
    </row>
    <row r="9462" spans="1:6" hidden="1" x14ac:dyDescent="0.25">
      <c r="A9462" t="s">
        <v>694</v>
      </c>
      <c r="B9462" t="s">
        <v>101</v>
      </c>
      <c r="E9462" s="3">
        <f>HYPERLINK("https://sao.dolgi.msk.ru/account/1404273712/", 1404273712)</f>
        <v>1404273712</v>
      </c>
      <c r="F9462">
        <v>0</v>
      </c>
    </row>
    <row r="9463" spans="1:6" hidden="1" x14ac:dyDescent="0.25">
      <c r="A9463" t="s">
        <v>694</v>
      </c>
      <c r="B9463" t="s">
        <v>102</v>
      </c>
      <c r="E9463" s="3">
        <f>HYPERLINK("https://sao.dolgi.msk.ru/account/1404275937/", 1404275937)</f>
        <v>1404275937</v>
      </c>
      <c r="F9463">
        <v>-1812.09</v>
      </c>
    </row>
    <row r="9464" spans="1:6" hidden="1" x14ac:dyDescent="0.25">
      <c r="A9464" t="s">
        <v>694</v>
      </c>
      <c r="B9464" t="s">
        <v>103</v>
      </c>
      <c r="E9464" s="3">
        <f>HYPERLINK("https://sao.dolgi.msk.ru/account/1404279065/", 1404279065)</f>
        <v>1404279065</v>
      </c>
      <c r="F9464">
        <v>0</v>
      </c>
    </row>
    <row r="9465" spans="1:6" x14ac:dyDescent="0.25">
      <c r="A9465" t="s">
        <v>694</v>
      </c>
      <c r="B9465" t="s">
        <v>104</v>
      </c>
      <c r="C9465" s="5" t="str">
        <f>" кв. "&amp;B9465</f>
        <v xml:space="preserve"> кв. 100</v>
      </c>
      <c r="D9465" s="5" t="str">
        <f>CONCATENATE(A9465,C9465)</f>
        <v>Прибрежный пр., дом 7 кв. 100</v>
      </c>
      <c r="E9465" s="3">
        <f>HYPERLINK("https://sao.dolgi.msk.ru/account/1404277924/", 1404277924)</f>
        <v>1404277924</v>
      </c>
      <c r="F9465">
        <v>1964.22</v>
      </c>
    </row>
    <row r="9466" spans="1:6" hidden="1" x14ac:dyDescent="0.25">
      <c r="A9466" t="s">
        <v>694</v>
      </c>
      <c r="B9466" t="s">
        <v>105</v>
      </c>
      <c r="E9466" s="3">
        <f>HYPERLINK("https://sao.dolgi.msk.ru/account/1404276358/", 1404276358)</f>
        <v>1404276358</v>
      </c>
      <c r="F9466">
        <v>-1465.19</v>
      </c>
    </row>
    <row r="9467" spans="1:6" hidden="1" x14ac:dyDescent="0.25">
      <c r="A9467" t="s">
        <v>694</v>
      </c>
      <c r="B9467" t="s">
        <v>106</v>
      </c>
      <c r="E9467" s="3">
        <f>HYPERLINK("https://sao.dolgi.msk.ru/account/1404273376/", 1404273376)</f>
        <v>1404273376</v>
      </c>
      <c r="F9467">
        <v>0</v>
      </c>
    </row>
    <row r="9468" spans="1:6" hidden="1" x14ac:dyDescent="0.25">
      <c r="A9468" t="s">
        <v>694</v>
      </c>
      <c r="B9468" t="s">
        <v>107</v>
      </c>
      <c r="E9468" s="3">
        <f>HYPERLINK("https://sao.dolgi.msk.ru/account/1404273552/", 1404273552)</f>
        <v>1404273552</v>
      </c>
      <c r="F9468">
        <v>-2902.66</v>
      </c>
    </row>
    <row r="9469" spans="1:6" hidden="1" x14ac:dyDescent="0.25">
      <c r="A9469" t="s">
        <v>694</v>
      </c>
      <c r="B9469" t="s">
        <v>108</v>
      </c>
      <c r="E9469" s="3">
        <f>HYPERLINK("https://sao.dolgi.msk.ru/account/1404276585/", 1404276585)</f>
        <v>1404276585</v>
      </c>
      <c r="F9469">
        <v>-2107.66</v>
      </c>
    </row>
    <row r="9470" spans="1:6" x14ac:dyDescent="0.25">
      <c r="A9470" t="s">
        <v>694</v>
      </c>
      <c r="B9470" t="s">
        <v>109</v>
      </c>
      <c r="C9470" s="5" t="str">
        <f t="shared" ref="C9470:C9471" si="419">" кв. "&amp;B9470</f>
        <v xml:space="preserve"> кв. 105</v>
      </c>
      <c r="D9470" s="5" t="str">
        <f>CONCATENATE(A9470,C9470)</f>
        <v>Прибрежный пр., дом 7 кв. 105</v>
      </c>
      <c r="E9470" s="3">
        <f>HYPERLINK("https://sao.dolgi.msk.ru/account/1404276593/", 1404276593)</f>
        <v>1404276593</v>
      </c>
      <c r="F9470">
        <v>499.76</v>
      </c>
    </row>
    <row r="9471" spans="1:6" x14ac:dyDescent="0.25">
      <c r="A9471" t="s">
        <v>694</v>
      </c>
      <c r="B9471" t="s">
        <v>110</v>
      </c>
      <c r="C9471" s="5" t="str">
        <f t="shared" si="419"/>
        <v xml:space="preserve"> кв. 106</v>
      </c>
      <c r="D9471" s="5" t="str">
        <f>CONCATENATE(A9471,C9471)</f>
        <v>Прибрежный пр., дом 7 кв. 106</v>
      </c>
      <c r="E9471" s="3">
        <f>HYPERLINK("https://sao.dolgi.msk.ru/account/1404275021/", 1404275021)</f>
        <v>1404275021</v>
      </c>
      <c r="F9471">
        <v>1398.05</v>
      </c>
    </row>
    <row r="9472" spans="1:6" hidden="1" x14ac:dyDescent="0.25">
      <c r="A9472" t="s">
        <v>694</v>
      </c>
      <c r="B9472" t="s">
        <v>111</v>
      </c>
      <c r="E9472" s="3">
        <f>HYPERLINK("https://sao.dolgi.msk.ru/account/1404274352/", 1404274352)</f>
        <v>1404274352</v>
      </c>
      <c r="F9472">
        <v>-1997.69</v>
      </c>
    </row>
    <row r="9473" spans="1:6" hidden="1" x14ac:dyDescent="0.25">
      <c r="A9473" t="s">
        <v>694</v>
      </c>
      <c r="B9473" t="s">
        <v>112</v>
      </c>
      <c r="E9473" s="3">
        <f>HYPERLINK("https://sao.dolgi.msk.ru/account/1404278257/", 1404278257)</f>
        <v>1404278257</v>
      </c>
      <c r="F9473">
        <v>0</v>
      </c>
    </row>
    <row r="9474" spans="1:6" hidden="1" x14ac:dyDescent="0.25">
      <c r="A9474" t="s">
        <v>694</v>
      </c>
      <c r="B9474" t="s">
        <v>113</v>
      </c>
      <c r="E9474" s="3">
        <f>HYPERLINK("https://sao.dolgi.msk.ru/account/1404278847/", 1404278847)</f>
        <v>1404278847</v>
      </c>
      <c r="F9474">
        <v>-1469.81</v>
      </c>
    </row>
    <row r="9475" spans="1:6" hidden="1" x14ac:dyDescent="0.25">
      <c r="A9475" t="s">
        <v>694</v>
      </c>
      <c r="B9475" t="s">
        <v>114</v>
      </c>
      <c r="E9475" s="3">
        <f>HYPERLINK("https://sao.dolgi.msk.ru/account/1404278855/", 1404278855)</f>
        <v>1404278855</v>
      </c>
      <c r="F9475">
        <v>0</v>
      </c>
    </row>
    <row r="9476" spans="1:6" hidden="1" x14ac:dyDescent="0.25">
      <c r="A9476" t="s">
        <v>694</v>
      </c>
      <c r="B9476" t="s">
        <v>115</v>
      </c>
      <c r="E9476" s="3">
        <f>HYPERLINK("https://sao.dolgi.msk.ru/account/1404275734/", 1404275734)</f>
        <v>1404275734</v>
      </c>
      <c r="F9476">
        <v>-2911.91</v>
      </c>
    </row>
    <row r="9477" spans="1:6" hidden="1" x14ac:dyDescent="0.25">
      <c r="A9477" t="s">
        <v>694</v>
      </c>
      <c r="B9477" t="s">
        <v>116</v>
      </c>
      <c r="E9477" s="3">
        <f>HYPERLINK("https://sao.dolgi.msk.ru/account/1404278863/", 1404278863)</f>
        <v>1404278863</v>
      </c>
      <c r="F9477">
        <v>-1760.82</v>
      </c>
    </row>
    <row r="9478" spans="1:6" hidden="1" x14ac:dyDescent="0.25">
      <c r="A9478" t="s">
        <v>694</v>
      </c>
      <c r="B9478" t="s">
        <v>117</v>
      </c>
      <c r="E9478" s="3">
        <f>HYPERLINK("https://sao.dolgi.msk.ru/account/1404275742/", 1404275742)</f>
        <v>1404275742</v>
      </c>
      <c r="F9478">
        <v>0</v>
      </c>
    </row>
    <row r="9479" spans="1:6" hidden="1" x14ac:dyDescent="0.25">
      <c r="A9479" t="s">
        <v>694</v>
      </c>
      <c r="B9479" t="s">
        <v>118</v>
      </c>
      <c r="E9479" s="3">
        <f>HYPERLINK("https://sao.dolgi.msk.ru/account/1404277457/", 1404277457)</f>
        <v>1404277457</v>
      </c>
      <c r="F9479">
        <v>0</v>
      </c>
    </row>
    <row r="9480" spans="1:6" hidden="1" x14ac:dyDescent="0.25">
      <c r="A9480" t="s">
        <v>694</v>
      </c>
      <c r="B9480" t="s">
        <v>119</v>
      </c>
      <c r="E9480" s="3">
        <f>HYPERLINK("https://sao.dolgi.msk.ru/account/1404276606/", 1404276606)</f>
        <v>1404276606</v>
      </c>
      <c r="F9480">
        <v>-2930.38</v>
      </c>
    </row>
    <row r="9481" spans="1:6" hidden="1" x14ac:dyDescent="0.25">
      <c r="A9481" t="s">
        <v>694</v>
      </c>
      <c r="B9481" t="s">
        <v>120</v>
      </c>
      <c r="E9481" s="3">
        <f>HYPERLINK("https://sao.dolgi.msk.ru/account/1404273579/", 1404273579)</f>
        <v>1404273579</v>
      </c>
      <c r="F9481">
        <v>-2874.93</v>
      </c>
    </row>
    <row r="9482" spans="1:6" hidden="1" x14ac:dyDescent="0.25">
      <c r="A9482" t="s">
        <v>694</v>
      </c>
      <c r="B9482" t="s">
        <v>121</v>
      </c>
      <c r="E9482" s="3">
        <f>HYPERLINK("https://sao.dolgi.msk.ru/account/1404275769/", 1404275769)</f>
        <v>1404275769</v>
      </c>
      <c r="F9482">
        <v>-1465.19</v>
      </c>
    </row>
    <row r="9483" spans="1:6" hidden="1" x14ac:dyDescent="0.25">
      <c r="A9483" t="s">
        <v>694</v>
      </c>
      <c r="B9483" t="s">
        <v>122</v>
      </c>
      <c r="E9483" s="3">
        <f>HYPERLINK("https://sao.dolgi.msk.ru/account/1404275048/", 1404275048)</f>
        <v>1404275048</v>
      </c>
      <c r="F9483">
        <v>-2038.32</v>
      </c>
    </row>
    <row r="9484" spans="1:6" hidden="1" x14ac:dyDescent="0.25">
      <c r="A9484" t="s">
        <v>694</v>
      </c>
      <c r="B9484" t="s">
        <v>123</v>
      </c>
      <c r="E9484" s="3">
        <f>HYPERLINK("https://sao.dolgi.msk.ru/account/1404274379/", 1404274379)</f>
        <v>1404274379</v>
      </c>
      <c r="F9484">
        <v>-2925.78</v>
      </c>
    </row>
    <row r="9485" spans="1:6" x14ac:dyDescent="0.25">
      <c r="A9485" t="s">
        <v>694</v>
      </c>
      <c r="B9485" t="s">
        <v>124</v>
      </c>
      <c r="C9485" s="5" t="str">
        <f>" кв. "&amp;B9485</f>
        <v xml:space="preserve"> кв. 120</v>
      </c>
      <c r="D9485" s="5" t="str">
        <f>CONCATENATE(A9485,C9485)</f>
        <v>Прибрежный пр., дом 7 кв. 120</v>
      </c>
      <c r="E9485" s="3">
        <f>HYPERLINK("https://sao.dolgi.msk.ru/account/1404278273/", 1404278273)</f>
        <v>1404278273</v>
      </c>
      <c r="F9485">
        <v>1986.36</v>
      </c>
    </row>
    <row r="9486" spans="1:6" hidden="1" x14ac:dyDescent="0.25">
      <c r="A9486" t="s">
        <v>694</v>
      </c>
      <c r="B9486" t="s">
        <v>125</v>
      </c>
      <c r="E9486" s="3">
        <f>HYPERLINK("https://sao.dolgi.msk.ru/account/1404273587/", 1404273587)</f>
        <v>1404273587</v>
      </c>
      <c r="F9486">
        <v>-723.35</v>
      </c>
    </row>
    <row r="9487" spans="1:6" hidden="1" x14ac:dyDescent="0.25">
      <c r="A9487" t="s">
        <v>694</v>
      </c>
      <c r="B9487" t="s">
        <v>126</v>
      </c>
      <c r="E9487" s="3">
        <f>HYPERLINK("https://sao.dolgi.msk.ru/account/1404278871/", 1404278871)</f>
        <v>1404278871</v>
      </c>
      <c r="F9487">
        <v>0</v>
      </c>
    </row>
    <row r="9488" spans="1:6" hidden="1" x14ac:dyDescent="0.25">
      <c r="A9488" t="s">
        <v>694</v>
      </c>
      <c r="B9488" t="s">
        <v>127</v>
      </c>
      <c r="E9488" s="3">
        <f>HYPERLINK("https://sao.dolgi.msk.ru/account/1404277465/", 1404277465)</f>
        <v>1404277465</v>
      </c>
      <c r="F9488">
        <v>-2673.58</v>
      </c>
    </row>
    <row r="9489" spans="1:6" hidden="1" x14ac:dyDescent="0.25">
      <c r="A9489" t="s">
        <v>694</v>
      </c>
      <c r="B9489" t="s">
        <v>128</v>
      </c>
      <c r="E9489" s="3">
        <f>HYPERLINK("https://sao.dolgi.msk.ru/account/1404273595/", 1404273595)</f>
        <v>1404273595</v>
      </c>
      <c r="F9489">
        <v>0</v>
      </c>
    </row>
    <row r="9490" spans="1:6" hidden="1" x14ac:dyDescent="0.25">
      <c r="A9490" t="s">
        <v>694</v>
      </c>
      <c r="B9490" t="s">
        <v>129</v>
      </c>
      <c r="E9490" s="3">
        <f>HYPERLINK("https://sao.dolgi.msk.ru/account/1404274387/", 1404274387)</f>
        <v>1404274387</v>
      </c>
      <c r="F9490">
        <v>-463.98</v>
      </c>
    </row>
    <row r="9491" spans="1:6" hidden="1" x14ac:dyDescent="0.25">
      <c r="A9491" t="s">
        <v>694</v>
      </c>
      <c r="B9491" t="s">
        <v>130</v>
      </c>
      <c r="E9491" s="3">
        <f>HYPERLINK("https://sao.dolgi.msk.ru/account/1404275056/", 1404275056)</f>
        <v>1404275056</v>
      </c>
      <c r="F9491">
        <v>-1996.74</v>
      </c>
    </row>
    <row r="9492" spans="1:6" hidden="1" x14ac:dyDescent="0.25">
      <c r="A9492" t="s">
        <v>694</v>
      </c>
      <c r="B9492" t="s">
        <v>131</v>
      </c>
      <c r="E9492" s="3">
        <f>HYPERLINK("https://sao.dolgi.msk.ru/account/1404277721/", 1404277721)</f>
        <v>1404277721</v>
      </c>
      <c r="F9492">
        <v>-1784.18</v>
      </c>
    </row>
    <row r="9493" spans="1:6" x14ac:dyDescent="0.25">
      <c r="A9493" t="s">
        <v>694</v>
      </c>
      <c r="B9493" t="s">
        <v>132</v>
      </c>
      <c r="C9493" s="5" t="str">
        <f>" кв. "&amp;B9493</f>
        <v xml:space="preserve"> кв. 128</v>
      </c>
      <c r="D9493" s="5" t="str">
        <f>CONCATENATE(A9493,C9493)</f>
        <v>Прибрежный пр., дом 7 кв. 128</v>
      </c>
      <c r="E9493" s="3">
        <f>HYPERLINK("https://sao.dolgi.msk.ru/account/1404276876/", 1404276876)</f>
        <v>1404276876</v>
      </c>
      <c r="F9493">
        <v>1964.22</v>
      </c>
    </row>
    <row r="9494" spans="1:6" hidden="1" x14ac:dyDescent="0.25">
      <c r="A9494" t="s">
        <v>694</v>
      </c>
      <c r="B9494" t="s">
        <v>133</v>
      </c>
      <c r="E9494" s="3">
        <f>HYPERLINK("https://sao.dolgi.msk.ru/account/1404276884/", 1404276884)</f>
        <v>1404276884</v>
      </c>
      <c r="F9494">
        <v>-1465.19</v>
      </c>
    </row>
    <row r="9495" spans="1:6" hidden="1" x14ac:dyDescent="0.25">
      <c r="A9495" t="s">
        <v>694</v>
      </c>
      <c r="B9495" t="s">
        <v>134</v>
      </c>
      <c r="E9495" s="3">
        <f>HYPERLINK("https://sao.dolgi.msk.ru/account/1404277713/", 1404277713)</f>
        <v>1404277713</v>
      </c>
      <c r="F9495">
        <v>0</v>
      </c>
    </row>
    <row r="9496" spans="1:6" hidden="1" x14ac:dyDescent="0.25">
      <c r="A9496" t="s">
        <v>694</v>
      </c>
      <c r="B9496" t="s">
        <v>135</v>
      </c>
      <c r="E9496" s="3">
        <f>HYPERLINK("https://sao.dolgi.msk.ru/account/1404273472/", 1404273472)</f>
        <v>1404273472</v>
      </c>
      <c r="F9496">
        <v>-2907.29</v>
      </c>
    </row>
    <row r="9497" spans="1:6" hidden="1" x14ac:dyDescent="0.25">
      <c r="A9497" t="s">
        <v>694</v>
      </c>
      <c r="B9497" t="s">
        <v>136</v>
      </c>
      <c r="E9497" s="3">
        <f>HYPERLINK("https://sao.dolgi.msk.ru/account/1404274897/", 1404274897)</f>
        <v>1404274897</v>
      </c>
      <c r="F9497">
        <v>-1430.53</v>
      </c>
    </row>
    <row r="9498" spans="1:6" hidden="1" x14ac:dyDescent="0.25">
      <c r="A9498" t="s">
        <v>694</v>
      </c>
      <c r="B9498" t="s">
        <v>137</v>
      </c>
      <c r="E9498" s="3">
        <f>HYPERLINK("https://sao.dolgi.msk.ru/account/1404273499/", 1404273499)</f>
        <v>1404273499</v>
      </c>
      <c r="F9498">
        <v>-1233.93</v>
      </c>
    </row>
    <row r="9499" spans="1:6" hidden="1" x14ac:dyDescent="0.25">
      <c r="A9499" t="s">
        <v>694</v>
      </c>
      <c r="B9499" t="s">
        <v>138</v>
      </c>
      <c r="E9499" s="3">
        <f>HYPERLINK("https://sao.dolgi.msk.ru/account/1404277932/", 1404277932)</f>
        <v>1404277932</v>
      </c>
      <c r="F9499">
        <v>0</v>
      </c>
    </row>
    <row r="9500" spans="1:6" x14ac:dyDescent="0.25">
      <c r="A9500" t="s">
        <v>694</v>
      </c>
      <c r="B9500" t="s">
        <v>139</v>
      </c>
      <c r="C9500" s="5" t="str">
        <f t="shared" ref="C9500:C9501" si="420">" кв. "&amp;B9500</f>
        <v xml:space="preserve"> кв. 135</v>
      </c>
      <c r="D9500" s="5" t="str">
        <f>CONCATENATE(A9500,C9500)</f>
        <v>Прибрежный пр., дом 7 кв. 135</v>
      </c>
      <c r="E9500" s="3">
        <f>HYPERLINK("https://sao.dolgi.msk.ru/account/1404274811/", 1404274811)</f>
        <v>1404274811</v>
      </c>
      <c r="F9500">
        <v>997.92</v>
      </c>
    </row>
    <row r="9501" spans="1:6" x14ac:dyDescent="0.25">
      <c r="A9501" t="s">
        <v>694</v>
      </c>
      <c r="B9501" t="s">
        <v>140</v>
      </c>
      <c r="C9501" s="5" t="str">
        <f t="shared" si="420"/>
        <v xml:space="preserve"> кв. 136</v>
      </c>
      <c r="D9501" s="5" t="str">
        <f>CONCATENATE(A9501,C9501)</f>
        <v>Прибрежный пр., дом 7 кв. 136</v>
      </c>
      <c r="E9501" s="3">
        <f>HYPERLINK("https://sao.dolgi.msk.ru/account/1404273384/", 1404273384)</f>
        <v>1404273384</v>
      </c>
      <c r="F9501">
        <v>1439.16</v>
      </c>
    </row>
    <row r="9502" spans="1:6" hidden="1" x14ac:dyDescent="0.25">
      <c r="A9502" t="s">
        <v>694</v>
      </c>
      <c r="B9502" t="s">
        <v>141</v>
      </c>
      <c r="E9502" s="3">
        <f>HYPERLINK("https://sao.dolgi.msk.ru/account/1404277182/", 1404277182)</f>
        <v>1404277182</v>
      </c>
      <c r="F9502">
        <v>-1469.81</v>
      </c>
    </row>
    <row r="9503" spans="1:6" x14ac:dyDescent="0.25">
      <c r="A9503" t="s">
        <v>694</v>
      </c>
      <c r="B9503" t="s">
        <v>142</v>
      </c>
      <c r="C9503" s="5" t="str">
        <f t="shared" ref="C9503:C9505" si="421">" кв. "&amp;B9503</f>
        <v xml:space="preserve"> кв. 138</v>
      </c>
      <c r="D9503" s="5" t="str">
        <f>CONCATENATE(A9503,C9503)</f>
        <v>Прибрежный пр., дом 7 кв. 138</v>
      </c>
      <c r="E9503" s="3">
        <f>HYPERLINK("https://sao.dolgi.msk.ru/account/1404277959/", 1404277959)</f>
        <v>1404277959</v>
      </c>
      <c r="F9503">
        <v>1394.88</v>
      </c>
    </row>
    <row r="9504" spans="1:6" x14ac:dyDescent="0.25">
      <c r="A9504" t="s">
        <v>694</v>
      </c>
      <c r="B9504" t="s">
        <v>143</v>
      </c>
      <c r="C9504" s="5" t="str">
        <f t="shared" si="421"/>
        <v xml:space="preserve"> кв. 139</v>
      </c>
      <c r="D9504" s="5" t="str">
        <f>CONCATENATE(A9504,C9504)</f>
        <v>Прибрежный пр., дом 7 кв. 139</v>
      </c>
      <c r="E9504" s="3">
        <f>HYPERLINK("https://sao.dolgi.msk.ru/account/1404276366/", 1404276366)</f>
        <v>1404276366</v>
      </c>
      <c r="F9504">
        <v>1992.69</v>
      </c>
    </row>
    <row r="9505" spans="1:6" x14ac:dyDescent="0.25">
      <c r="A9505" t="s">
        <v>694</v>
      </c>
      <c r="B9505" t="s">
        <v>144</v>
      </c>
      <c r="C9505" s="5" t="str">
        <f t="shared" si="421"/>
        <v xml:space="preserve"> кв. 140</v>
      </c>
      <c r="D9505" s="5" t="str">
        <f>CONCATENATE(A9505,C9505)</f>
        <v>Прибрежный пр., дом 7 кв. 140</v>
      </c>
      <c r="E9505" s="3">
        <f>HYPERLINK("https://sao.dolgi.msk.ru/account/1404276374/", 1404276374)</f>
        <v>1404276374</v>
      </c>
      <c r="F9505">
        <v>1964.22</v>
      </c>
    </row>
    <row r="9506" spans="1:6" hidden="1" x14ac:dyDescent="0.25">
      <c r="A9506" t="s">
        <v>694</v>
      </c>
      <c r="B9506" t="s">
        <v>145</v>
      </c>
      <c r="E9506" s="3">
        <f>HYPERLINK("https://sao.dolgi.msk.ru/account/1404274221/", 1404274221)</f>
        <v>1404274221</v>
      </c>
      <c r="F9506">
        <v>0</v>
      </c>
    </row>
    <row r="9507" spans="1:6" hidden="1" x14ac:dyDescent="0.25">
      <c r="A9507" t="s">
        <v>694</v>
      </c>
      <c r="B9507" t="s">
        <v>146</v>
      </c>
      <c r="E9507" s="3">
        <f>HYPERLINK("https://sao.dolgi.msk.ru/account/1404278695/", 1404278695)</f>
        <v>1404278695</v>
      </c>
      <c r="F9507">
        <v>-2047.57</v>
      </c>
    </row>
    <row r="9508" spans="1:6" hidden="1" x14ac:dyDescent="0.25">
      <c r="A9508" t="s">
        <v>694</v>
      </c>
      <c r="B9508" t="s">
        <v>147</v>
      </c>
      <c r="E9508" s="3">
        <f>HYPERLINK("https://sao.dolgi.msk.ru/account/1404275566/", 1404275566)</f>
        <v>1404275566</v>
      </c>
      <c r="F9508">
        <v>-2898.04</v>
      </c>
    </row>
    <row r="9509" spans="1:6" hidden="1" x14ac:dyDescent="0.25">
      <c r="A9509" t="s">
        <v>694</v>
      </c>
      <c r="B9509" t="s">
        <v>148</v>
      </c>
      <c r="E9509" s="3">
        <f>HYPERLINK("https://sao.dolgi.msk.ru/account/1404278708/", 1404278708)</f>
        <v>1404278708</v>
      </c>
      <c r="F9509">
        <v>0</v>
      </c>
    </row>
    <row r="9510" spans="1:6" x14ac:dyDescent="0.25">
      <c r="A9510" t="s">
        <v>694</v>
      </c>
      <c r="B9510" t="s">
        <v>149</v>
      </c>
      <c r="C9510" s="5" t="str">
        <f>" кв. "&amp;B9510</f>
        <v xml:space="preserve"> кв. 145</v>
      </c>
      <c r="D9510" s="5" t="str">
        <f>CONCATENATE(A9510,C9510)</f>
        <v>Прибрежный пр., дом 7 кв. 145</v>
      </c>
      <c r="E9510" s="3">
        <f>HYPERLINK("https://sao.dolgi.msk.ru/account/1404277203/", 1404277203)</f>
        <v>1404277203</v>
      </c>
      <c r="F9510">
        <v>832.1</v>
      </c>
    </row>
    <row r="9511" spans="1:6" hidden="1" x14ac:dyDescent="0.25">
      <c r="A9511" t="s">
        <v>694</v>
      </c>
      <c r="B9511" t="s">
        <v>150</v>
      </c>
      <c r="E9511" s="3">
        <f>HYPERLINK("https://sao.dolgi.msk.ru/account/1404274248/", 1404274248)</f>
        <v>1404274248</v>
      </c>
      <c r="F9511">
        <v>-1816.2</v>
      </c>
    </row>
    <row r="9512" spans="1:6" hidden="1" x14ac:dyDescent="0.25">
      <c r="A9512" t="s">
        <v>694</v>
      </c>
      <c r="B9512" t="s">
        <v>151</v>
      </c>
      <c r="E9512" s="3">
        <f>HYPERLINK("https://sao.dolgi.msk.ru/account/1404275451/", 1404275451)</f>
        <v>1404275451</v>
      </c>
      <c r="F9512">
        <v>-1898.4</v>
      </c>
    </row>
    <row r="9513" spans="1:6" hidden="1" x14ac:dyDescent="0.25">
      <c r="A9513" t="s">
        <v>694</v>
      </c>
      <c r="B9513" t="s">
        <v>152</v>
      </c>
      <c r="E9513" s="3">
        <f>HYPERLINK("https://sao.dolgi.msk.ru/account/1404275232/", 1404275232)</f>
        <v>1404275232</v>
      </c>
      <c r="F9513">
        <v>-966.01</v>
      </c>
    </row>
    <row r="9514" spans="1:6" hidden="1" x14ac:dyDescent="0.25">
      <c r="A9514" t="s">
        <v>694</v>
      </c>
      <c r="B9514" t="s">
        <v>152</v>
      </c>
      <c r="E9514" s="3">
        <f>HYPERLINK("https://sao.dolgi.msk.ru/account/1404276171/", 1404276171)</f>
        <v>1404276171</v>
      </c>
      <c r="F9514">
        <v>-1932.03</v>
      </c>
    </row>
    <row r="9515" spans="1:6" hidden="1" x14ac:dyDescent="0.25">
      <c r="A9515" t="s">
        <v>694</v>
      </c>
      <c r="B9515" t="s">
        <v>153</v>
      </c>
      <c r="E9515" s="3">
        <f>HYPERLINK("https://sao.dolgi.msk.ru/account/1404276198/", 1404276198)</f>
        <v>1404276198</v>
      </c>
      <c r="F9515">
        <v>-1451.32</v>
      </c>
    </row>
    <row r="9516" spans="1:6" hidden="1" x14ac:dyDescent="0.25">
      <c r="A9516" t="s">
        <v>694</v>
      </c>
      <c r="B9516" t="s">
        <v>154</v>
      </c>
      <c r="E9516" s="3">
        <f>HYPERLINK("https://sao.dolgi.msk.ru/account/1404278601/", 1404278601)</f>
        <v>1404278601</v>
      </c>
      <c r="F9516">
        <v>-1720.49</v>
      </c>
    </row>
    <row r="9517" spans="1:6" hidden="1" x14ac:dyDescent="0.25">
      <c r="A9517" t="s">
        <v>694</v>
      </c>
      <c r="B9517" t="s">
        <v>155</v>
      </c>
      <c r="E9517" s="3">
        <f>HYPERLINK("https://sao.dolgi.msk.ru/account/1404273245/", 1404273245)</f>
        <v>1404273245</v>
      </c>
      <c r="F9517">
        <v>-2921.16</v>
      </c>
    </row>
    <row r="9518" spans="1:6" hidden="1" x14ac:dyDescent="0.25">
      <c r="A9518" t="s">
        <v>694</v>
      </c>
      <c r="B9518" t="s">
        <v>156</v>
      </c>
      <c r="E9518" s="3">
        <f>HYPERLINK("https://sao.dolgi.msk.ru/account/1404274678/", 1404274678)</f>
        <v>1404274678</v>
      </c>
      <c r="F9518">
        <v>-1449.02</v>
      </c>
    </row>
    <row r="9519" spans="1:6" hidden="1" x14ac:dyDescent="0.25">
      <c r="A9519" t="s">
        <v>694</v>
      </c>
      <c r="B9519" t="s">
        <v>157</v>
      </c>
      <c r="E9519" s="3">
        <f>HYPERLINK("https://sao.dolgi.msk.ru/account/1404275478/", 1404275478)</f>
        <v>1404275478</v>
      </c>
      <c r="F9519">
        <v>0</v>
      </c>
    </row>
    <row r="9520" spans="1:6" x14ac:dyDescent="0.25">
      <c r="A9520" t="s">
        <v>694</v>
      </c>
      <c r="B9520" t="s">
        <v>158</v>
      </c>
      <c r="C9520" s="5" t="str">
        <f>" кв. "&amp;B9520</f>
        <v xml:space="preserve"> кв. 154</v>
      </c>
      <c r="D9520" s="5" t="str">
        <f>CONCATENATE(A9520,C9520)</f>
        <v>Прибрежный пр., дом 7 кв. 154</v>
      </c>
      <c r="E9520" s="3">
        <f>HYPERLINK("https://sao.dolgi.msk.ru/account/1404274125/", 1404274125)</f>
        <v>1404274125</v>
      </c>
      <c r="F9520">
        <v>1401.21</v>
      </c>
    </row>
    <row r="9521" spans="1:6" hidden="1" x14ac:dyDescent="0.25">
      <c r="A9521" t="s">
        <v>694</v>
      </c>
      <c r="B9521" t="s">
        <v>159</v>
      </c>
      <c r="E9521" s="3">
        <f>HYPERLINK("https://sao.dolgi.msk.ru/account/1404278628/", 1404278628)</f>
        <v>1404278628</v>
      </c>
      <c r="F9521">
        <v>0</v>
      </c>
    </row>
    <row r="9522" spans="1:6" x14ac:dyDescent="0.25">
      <c r="A9522" t="s">
        <v>694</v>
      </c>
      <c r="B9522" t="s">
        <v>160</v>
      </c>
      <c r="C9522" s="5" t="str">
        <f>" кв. "&amp;B9522</f>
        <v xml:space="preserve"> кв. 156</v>
      </c>
      <c r="D9522" s="5" t="str">
        <f>CONCATENATE(A9522,C9522)</f>
        <v>Прибрежный пр., дом 7 кв. 156</v>
      </c>
      <c r="E9522" s="3">
        <f>HYPERLINK("https://sao.dolgi.msk.ru/account/1404276219/", 1404276219)</f>
        <v>1404276219</v>
      </c>
      <c r="F9522">
        <v>1995.85</v>
      </c>
    </row>
    <row r="9523" spans="1:6" hidden="1" x14ac:dyDescent="0.25">
      <c r="A9523" t="s">
        <v>694</v>
      </c>
      <c r="B9523" t="s">
        <v>161</v>
      </c>
      <c r="E9523" s="3">
        <f>HYPERLINK("https://sao.dolgi.msk.ru/account/1404273253/", 1404273253)</f>
        <v>1404273253</v>
      </c>
      <c r="F9523">
        <v>-1230.03</v>
      </c>
    </row>
    <row r="9524" spans="1:6" hidden="1" x14ac:dyDescent="0.25">
      <c r="A9524" t="s">
        <v>694</v>
      </c>
      <c r="B9524" t="s">
        <v>162</v>
      </c>
      <c r="E9524" s="3">
        <f>HYPERLINK("https://sao.dolgi.msk.ru/account/1404276681/", 1404276681)</f>
        <v>1404276681</v>
      </c>
      <c r="F9524">
        <v>-2033.7</v>
      </c>
    </row>
    <row r="9525" spans="1:6" x14ac:dyDescent="0.25">
      <c r="A9525" t="s">
        <v>694</v>
      </c>
      <c r="B9525" t="s">
        <v>163</v>
      </c>
      <c r="C9525" s="5" t="str">
        <f>" кв. "&amp;B9525</f>
        <v xml:space="preserve"> кв. 159</v>
      </c>
      <c r="D9525" s="5" t="str">
        <f>CONCATENATE(A9525,C9525)</f>
        <v>Прибрежный пр., дом 7 кв. 159</v>
      </c>
      <c r="E9525" s="3">
        <f>HYPERLINK("https://sao.dolgi.msk.ru/account/1404275902/", 1404275902)</f>
        <v>1404275902</v>
      </c>
      <c r="F9525">
        <v>1989.53</v>
      </c>
    </row>
    <row r="9526" spans="1:6" hidden="1" x14ac:dyDescent="0.25">
      <c r="A9526" t="s">
        <v>694</v>
      </c>
      <c r="B9526" t="s">
        <v>164</v>
      </c>
      <c r="E9526" s="3">
        <f>HYPERLINK("https://sao.dolgi.msk.ru/account/1404276702/", 1404276702)</f>
        <v>1404276702</v>
      </c>
      <c r="F9526">
        <v>-2448.41</v>
      </c>
    </row>
    <row r="9527" spans="1:6" x14ac:dyDescent="0.25">
      <c r="A9527" t="s">
        <v>694</v>
      </c>
      <c r="B9527" t="s">
        <v>165</v>
      </c>
      <c r="C9527" s="5" t="str">
        <f>" кв. "&amp;B9527</f>
        <v xml:space="preserve"> кв. 161</v>
      </c>
      <c r="D9527" s="5" t="str">
        <f>CONCATENATE(A9527,C9527)</f>
        <v>Прибрежный пр., дом 7 кв. 161</v>
      </c>
      <c r="E9527" s="3">
        <f>HYPERLINK("https://sao.dolgi.msk.ru/account/1404276729/", 1404276729)</f>
        <v>1404276729</v>
      </c>
      <c r="F9527">
        <v>999.51</v>
      </c>
    </row>
    <row r="9528" spans="1:6" hidden="1" x14ac:dyDescent="0.25">
      <c r="A9528" t="s">
        <v>694</v>
      </c>
      <c r="B9528" t="s">
        <v>166</v>
      </c>
      <c r="E9528" s="3">
        <f>HYPERLINK("https://sao.dolgi.msk.ru/account/1404274424/", 1404274424)</f>
        <v>1404274424</v>
      </c>
      <c r="F9528">
        <v>0</v>
      </c>
    </row>
    <row r="9529" spans="1:6" x14ac:dyDescent="0.25">
      <c r="A9529" t="s">
        <v>694</v>
      </c>
      <c r="B9529" t="s">
        <v>167</v>
      </c>
      <c r="C9529" s="5" t="str">
        <f>" кв. "&amp;B9529</f>
        <v xml:space="preserve"> кв. 163</v>
      </c>
      <c r="D9529" s="5" t="str">
        <f>CONCATENATE(A9529,C9529)</f>
        <v>Прибрежный пр., дом 7 кв. 163</v>
      </c>
      <c r="E9529" s="3">
        <f>HYPERLINK("https://sao.dolgi.msk.ru/account/1404275128/", 1404275128)</f>
        <v>1404275128</v>
      </c>
      <c r="F9529">
        <v>2005.34</v>
      </c>
    </row>
    <row r="9530" spans="1:6" hidden="1" x14ac:dyDescent="0.25">
      <c r="A9530" t="s">
        <v>694</v>
      </c>
      <c r="B9530" t="s">
        <v>168</v>
      </c>
      <c r="E9530" s="3">
        <f>HYPERLINK("https://sao.dolgi.msk.ru/account/1404274432/", 1404274432)</f>
        <v>1404274432</v>
      </c>
      <c r="F9530">
        <v>-2921.16</v>
      </c>
    </row>
    <row r="9531" spans="1:6" hidden="1" x14ac:dyDescent="0.25">
      <c r="A9531" t="s">
        <v>694</v>
      </c>
      <c r="B9531" t="s">
        <v>169</v>
      </c>
      <c r="E9531" s="3">
        <f>HYPERLINK("https://sao.dolgi.msk.ru/account/1404275136/", 1404275136)</f>
        <v>1404275136</v>
      </c>
      <c r="F9531">
        <v>-1460.57</v>
      </c>
    </row>
    <row r="9532" spans="1:6" x14ac:dyDescent="0.25">
      <c r="A9532" t="s">
        <v>694</v>
      </c>
      <c r="B9532" t="s">
        <v>170</v>
      </c>
      <c r="C9532" s="5" t="str">
        <f>" кв. "&amp;B9532</f>
        <v xml:space="preserve"> кв. 166</v>
      </c>
      <c r="D9532" s="5" t="str">
        <f>CONCATENATE(A9532,C9532)</f>
        <v>Прибрежный пр., дом 7 кв. 166</v>
      </c>
      <c r="E9532" s="3">
        <f>HYPERLINK("https://sao.dolgi.msk.ru/account/1404277588/", 1404277588)</f>
        <v>1404277588</v>
      </c>
      <c r="F9532">
        <v>1394.88</v>
      </c>
    </row>
    <row r="9533" spans="1:6" hidden="1" x14ac:dyDescent="0.25">
      <c r="A9533" t="s">
        <v>694</v>
      </c>
      <c r="B9533" t="s">
        <v>171</v>
      </c>
      <c r="E9533" s="3">
        <f>HYPERLINK("https://sao.dolgi.msk.ru/account/1404275929/", 1404275929)</f>
        <v>1404275929</v>
      </c>
      <c r="F9533">
        <v>-1682.43</v>
      </c>
    </row>
    <row r="9534" spans="1:6" hidden="1" x14ac:dyDescent="0.25">
      <c r="A9534" t="s">
        <v>694</v>
      </c>
      <c r="B9534" t="s">
        <v>172</v>
      </c>
      <c r="E9534" s="3">
        <f>HYPERLINK("https://sao.dolgi.msk.ru/account/1404278329/", 1404278329)</f>
        <v>1404278329</v>
      </c>
      <c r="F9534">
        <v>-2921.16</v>
      </c>
    </row>
    <row r="9535" spans="1:6" x14ac:dyDescent="0.25">
      <c r="A9535" t="s">
        <v>694</v>
      </c>
      <c r="B9535" t="s">
        <v>173</v>
      </c>
      <c r="C9535" s="5" t="str">
        <f>" кв. "&amp;B9535</f>
        <v xml:space="preserve"> кв. 169</v>
      </c>
      <c r="D9535" s="5" t="str">
        <f>CONCATENATE(A9535,C9535)</f>
        <v>Прибрежный пр., дом 7 кв. 169</v>
      </c>
      <c r="E9535" s="3">
        <f>HYPERLINK("https://sao.dolgi.msk.ru/account/1404276737/", 1404276737)</f>
        <v>1404276737</v>
      </c>
      <c r="F9535">
        <v>1009</v>
      </c>
    </row>
    <row r="9536" spans="1:6" hidden="1" x14ac:dyDescent="0.25">
      <c r="A9536" t="s">
        <v>694</v>
      </c>
      <c r="B9536" t="s">
        <v>174</v>
      </c>
      <c r="E9536" s="3">
        <f>HYPERLINK("https://sao.dolgi.msk.ru/account/1404276745/", 1404276745)</f>
        <v>1404276745</v>
      </c>
      <c r="F9536">
        <v>-1712.7</v>
      </c>
    </row>
    <row r="9537" spans="1:6" hidden="1" x14ac:dyDescent="0.25">
      <c r="A9537" t="s">
        <v>694</v>
      </c>
      <c r="B9537" t="s">
        <v>175</v>
      </c>
      <c r="E9537" s="3">
        <f>HYPERLINK("https://sao.dolgi.msk.ru/account/1404274459/", 1404274459)</f>
        <v>1404274459</v>
      </c>
      <c r="F9537">
        <v>-2921.16</v>
      </c>
    </row>
    <row r="9538" spans="1:6" hidden="1" x14ac:dyDescent="0.25">
      <c r="A9538" t="s">
        <v>694</v>
      </c>
      <c r="B9538" t="s">
        <v>176</v>
      </c>
      <c r="E9538" s="3">
        <f>HYPERLINK("https://sao.dolgi.msk.ru/account/1404273683/", 1404273683)</f>
        <v>1404273683</v>
      </c>
      <c r="F9538">
        <v>0</v>
      </c>
    </row>
    <row r="9539" spans="1:6" hidden="1" x14ac:dyDescent="0.25">
      <c r="A9539" t="s">
        <v>694</v>
      </c>
      <c r="B9539" t="s">
        <v>177</v>
      </c>
      <c r="E9539" s="3">
        <f>HYPERLINK("https://sao.dolgi.msk.ru/account/1404273691/", 1404273691)</f>
        <v>1404273691</v>
      </c>
      <c r="F9539">
        <v>0</v>
      </c>
    </row>
    <row r="9540" spans="1:6" x14ac:dyDescent="0.25">
      <c r="A9540" t="s">
        <v>694</v>
      </c>
      <c r="B9540" t="s">
        <v>178</v>
      </c>
      <c r="C9540" s="5" t="str">
        <f t="shared" ref="C9540:C9541" si="422">" кв. "&amp;B9540</f>
        <v xml:space="preserve"> кв. 174</v>
      </c>
      <c r="D9540" s="5" t="str">
        <f>CONCATENATE(A9540,C9540)</f>
        <v>Прибрежный пр., дом 7 кв. 174</v>
      </c>
      <c r="E9540" s="3">
        <f>HYPERLINK("https://sao.dolgi.msk.ru/account/1404278986/", 1404278986)</f>
        <v>1404278986</v>
      </c>
      <c r="F9540">
        <v>1394.88</v>
      </c>
    </row>
    <row r="9541" spans="1:6" x14ac:dyDescent="0.25">
      <c r="A9541" t="s">
        <v>694</v>
      </c>
      <c r="B9541" t="s">
        <v>179</v>
      </c>
      <c r="C9541" s="5" t="str">
        <f t="shared" si="422"/>
        <v xml:space="preserve"> кв. 175</v>
      </c>
      <c r="D9541" s="5" t="str">
        <f>CONCATENATE(A9541,C9541)</f>
        <v>Прибрежный пр., дом 7 кв. 175</v>
      </c>
      <c r="E9541" s="3">
        <f>HYPERLINK("https://sao.dolgi.msk.ru/account/1404277596/", 1404277596)</f>
        <v>1404277596</v>
      </c>
      <c r="F9541">
        <v>1983.2</v>
      </c>
    </row>
    <row r="9542" spans="1:6" hidden="1" x14ac:dyDescent="0.25">
      <c r="A9542" t="s">
        <v>694</v>
      </c>
      <c r="B9542" t="s">
        <v>180</v>
      </c>
      <c r="E9542" s="3">
        <f>HYPERLINK("https://sao.dolgi.msk.ru/account/1404275849/", 1404275849)</f>
        <v>1404275849</v>
      </c>
      <c r="F9542">
        <v>-726.82</v>
      </c>
    </row>
    <row r="9543" spans="1:6" hidden="1" x14ac:dyDescent="0.25">
      <c r="A9543" t="s">
        <v>694</v>
      </c>
      <c r="B9543" t="s">
        <v>180</v>
      </c>
      <c r="E9543" s="3">
        <f>HYPERLINK("https://sao.dolgi.msk.ru/account/1404278345/", 1404278345)</f>
        <v>1404278345</v>
      </c>
      <c r="F9543">
        <v>0</v>
      </c>
    </row>
    <row r="9544" spans="1:6" hidden="1" x14ac:dyDescent="0.25">
      <c r="A9544" t="s">
        <v>694</v>
      </c>
      <c r="B9544" t="s">
        <v>181</v>
      </c>
      <c r="E9544" s="3">
        <f>HYPERLINK("https://sao.dolgi.msk.ru/account/1404278353/", 1404278353)</f>
        <v>1404278353</v>
      </c>
      <c r="F9544">
        <v>-727.98</v>
      </c>
    </row>
    <row r="9545" spans="1:6" hidden="1" x14ac:dyDescent="0.25">
      <c r="A9545" t="s">
        <v>694</v>
      </c>
      <c r="B9545" t="s">
        <v>182</v>
      </c>
      <c r="E9545" s="3">
        <f>HYPERLINK("https://sao.dolgi.msk.ru/account/1404275144/", 1404275144)</f>
        <v>1404275144</v>
      </c>
      <c r="F9545">
        <v>-2042.95</v>
      </c>
    </row>
    <row r="9546" spans="1:6" hidden="1" x14ac:dyDescent="0.25">
      <c r="A9546" t="s">
        <v>694</v>
      </c>
      <c r="B9546" t="s">
        <v>183</v>
      </c>
      <c r="E9546" s="3">
        <f>HYPERLINK("https://sao.dolgi.msk.ru/account/1404278994/", 1404278994)</f>
        <v>1404278994</v>
      </c>
      <c r="F9546">
        <v>0</v>
      </c>
    </row>
    <row r="9547" spans="1:6" hidden="1" x14ac:dyDescent="0.25">
      <c r="A9547" t="s">
        <v>694</v>
      </c>
      <c r="B9547" t="s">
        <v>184</v>
      </c>
      <c r="E9547" s="3">
        <f>HYPERLINK("https://sao.dolgi.msk.ru/account/1404279006/", 1404279006)</f>
        <v>1404279006</v>
      </c>
      <c r="F9547">
        <v>-2440.62</v>
      </c>
    </row>
    <row r="9548" spans="1:6" hidden="1" x14ac:dyDescent="0.25">
      <c r="A9548" t="s">
        <v>694</v>
      </c>
      <c r="B9548" t="s">
        <v>185</v>
      </c>
      <c r="E9548" s="3">
        <f>HYPERLINK("https://sao.dolgi.msk.ru/account/1404276753/", 1404276753)</f>
        <v>1404276753</v>
      </c>
      <c r="F9548">
        <v>-1451.32</v>
      </c>
    </row>
    <row r="9549" spans="1:6" x14ac:dyDescent="0.25">
      <c r="A9549" t="s">
        <v>694</v>
      </c>
      <c r="B9549" t="s">
        <v>186</v>
      </c>
      <c r="C9549" s="5" t="str">
        <f>" кв. "&amp;B9549</f>
        <v xml:space="preserve"> кв. 182</v>
      </c>
      <c r="D9549" s="5" t="str">
        <f>CONCATENATE(A9549,C9549)</f>
        <v>Прибрежный пр., дом 7 кв. 182</v>
      </c>
      <c r="E9549" s="3">
        <f>HYPERLINK("https://sao.dolgi.msk.ru/account/1404274475/", 1404274475)</f>
        <v>1404274475</v>
      </c>
      <c r="F9549">
        <v>1379.07</v>
      </c>
    </row>
    <row r="9550" spans="1:6" hidden="1" x14ac:dyDescent="0.25">
      <c r="A9550" t="s">
        <v>694</v>
      </c>
      <c r="B9550" t="s">
        <v>187</v>
      </c>
      <c r="E9550" s="3">
        <f>HYPERLINK("https://sao.dolgi.msk.ru/account/1404279014/", 1404279014)</f>
        <v>1404279014</v>
      </c>
      <c r="F9550">
        <v>-2921.16</v>
      </c>
    </row>
    <row r="9551" spans="1:6" x14ac:dyDescent="0.25">
      <c r="A9551" t="s">
        <v>694</v>
      </c>
      <c r="B9551" t="s">
        <v>188</v>
      </c>
      <c r="C9551" s="5" t="str">
        <f>" кв. "&amp;B9551</f>
        <v xml:space="preserve"> кв. 184</v>
      </c>
      <c r="D9551" s="5" t="str">
        <f>CONCATENATE(A9551,C9551)</f>
        <v>Прибрежный пр., дом 7 кв. 184</v>
      </c>
      <c r="E9551" s="3">
        <f>HYPERLINK("https://sao.dolgi.msk.ru/account/1404276761/", 1404276761)</f>
        <v>1404276761</v>
      </c>
      <c r="F9551">
        <v>1473.95</v>
      </c>
    </row>
    <row r="9552" spans="1:6" hidden="1" x14ac:dyDescent="0.25">
      <c r="A9552" t="s">
        <v>694</v>
      </c>
      <c r="B9552" t="s">
        <v>189</v>
      </c>
      <c r="E9552" s="3">
        <f>HYPERLINK("https://sao.dolgi.msk.ru/account/1404273704/", 1404273704)</f>
        <v>1404273704</v>
      </c>
      <c r="F9552">
        <v>0</v>
      </c>
    </row>
    <row r="9553" spans="1:6" hidden="1" x14ac:dyDescent="0.25">
      <c r="A9553" t="s">
        <v>694</v>
      </c>
      <c r="B9553" t="s">
        <v>190</v>
      </c>
      <c r="E9553" s="3">
        <f>HYPERLINK("https://sao.dolgi.msk.ru/account/1404278716/", 1404278716)</f>
        <v>1404278716</v>
      </c>
      <c r="F9553">
        <v>-509.58</v>
      </c>
    </row>
    <row r="9554" spans="1:6" hidden="1" x14ac:dyDescent="0.25">
      <c r="A9554" t="s">
        <v>694</v>
      </c>
      <c r="B9554" t="s">
        <v>190</v>
      </c>
      <c r="E9554" s="3">
        <f>HYPERLINK("https://sao.dolgi.msk.ru/account/1404279022/", 1404279022)</f>
        <v>1404279022</v>
      </c>
      <c r="F9554">
        <v>-1019.16</v>
      </c>
    </row>
    <row r="9555" spans="1:6" hidden="1" x14ac:dyDescent="0.25">
      <c r="A9555" t="s">
        <v>694</v>
      </c>
      <c r="B9555" t="s">
        <v>191</v>
      </c>
      <c r="E9555" s="3">
        <f>HYPERLINK("https://sao.dolgi.msk.ru/account/1404275152/", 1404275152)</f>
        <v>1404275152</v>
      </c>
      <c r="F9555">
        <v>-2916.53</v>
      </c>
    </row>
    <row r="9556" spans="1:6" hidden="1" x14ac:dyDescent="0.25">
      <c r="A9556" t="s">
        <v>694</v>
      </c>
      <c r="B9556" t="s">
        <v>192</v>
      </c>
      <c r="E9556" s="3">
        <f>HYPERLINK("https://sao.dolgi.msk.ru/account/1404277799/", 1404277799)</f>
        <v>1404277799</v>
      </c>
      <c r="F9556">
        <v>-922.14</v>
      </c>
    </row>
    <row r="9557" spans="1:6" hidden="1" x14ac:dyDescent="0.25">
      <c r="A9557" t="s">
        <v>694</v>
      </c>
      <c r="B9557" t="s">
        <v>193</v>
      </c>
      <c r="E9557" s="3">
        <f>HYPERLINK("https://sao.dolgi.msk.ru/account/1404279233/", 1404279233)</f>
        <v>1404279233</v>
      </c>
      <c r="F9557">
        <v>-730.28</v>
      </c>
    </row>
    <row r="9558" spans="1:6" x14ac:dyDescent="0.25">
      <c r="A9558" t="s">
        <v>694</v>
      </c>
      <c r="B9558" t="s">
        <v>194</v>
      </c>
      <c r="C9558" s="5" t="str">
        <f>" кв. "&amp;B9558</f>
        <v xml:space="preserve"> кв. 190</v>
      </c>
      <c r="D9558" s="5" t="str">
        <f>CONCATENATE(A9558,C9558)</f>
        <v>Прибрежный пр., дом 7 кв. 190</v>
      </c>
      <c r="E9558" s="3">
        <f>HYPERLINK("https://sao.dolgi.msk.ru/account/1404278206/", 1404278206)</f>
        <v>1404278206</v>
      </c>
      <c r="F9558">
        <v>876.15</v>
      </c>
    </row>
    <row r="9559" spans="1:6" hidden="1" x14ac:dyDescent="0.25">
      <c r="A9559" t="s">
        <v>694</v>
      </c>
      <c r="B9559" t="s">
        <v>195</v>
      </c>
      <c r="E9559" s="3">
        <f>HYPERLINK("https://sao.dolgi.msk.ru/account/1404274942/", 1404274942)</f>
        <v>1404274942</v>
      </c>
      <c r="F9559">
        <v>-2911.91</v>
      </c>
    </row>
    <row r="9560" spans="1:6" hidden="1" x14ac:dyDescent="0.25">
      <c r="A9560" t="s">
        <v>694</v>
      </c>
      <c r="B9560" t="s">
        <v>196</v>
      </c>
      <c r="E9560" s="3">
        <f>HYPERLINK("https://sao.dolgi.msk.ru/account/1404274969/", 1404274969)</f>
        <v>1404274969</v>
      </c>
      <c r="F9560">
        <v>-1960.03</v>
      </c>
    </row>
    <row r="9561" spans="1:6" hidden="1" x14ac:dyDescent="0.25">
      <c r="A9561" t="s">
        <v>694</v>
      </c>
      <c r="B9561" t="s">
        <v>197</v>
      </c>
      <c r="E9561" s="3">
        <f>HYPERLINK("https://sao.dolgi.msk.ru/account/1404274977/", 1404274977)</f>
        <v>1404274977</v>
      </c>
      <c r="F9561">
        <v>0</v>
      </c>
    </row>
    <row r="9562" spans="1:6" hidden="1" x14ac:dyDescent="0.25">
      <c r="A9562" t="s">
        <v>694</v>
      </c>
      <c r="B9562" t="s">
        <v>198</v>
      </c>
      <c r="E9562" s="3">
        <f>HYPERLINK("https://sao.dolgi.msk.ru/account/1404279321/", 1404279321)</f>
        <v>1404279321</v>
      </c>
      <c r="F9562">
        <v>-1771.01</v>
      </c>
    </row>
    <row r="9563" spans="1:6" hidden="1" x14ac:dyDescent="0.25">
      <c r="A9563" t="s">
        <v>694</v>
      </c>
      <c r="B9563" t="s">
        <v>199</v>
      </c>
      <c r="E9563" s="3">
        <f>HYPERLINK("https://sao.dolgi.msk.ru/account/1404275355/", 1404275355)</f>
        <v>1404275355</v>
      </c>
      <c r="F9563">
        <v>0</v>
      </c>
    </row>
    <row r="9564" spans="1:6" hidden="1" x14ac:dyDescent="0.25">
      <c r="A9564" t="s">
        <v>694</v>
      </c>
      <c r="B9564" t="s">
        <v>199</v>
      </c>
      <c r="E9564" s="3">
        <f>HYPERLINK("https://sao.dolgi.msk.ru/account/1404275398/", 1404275398)</f>
        <v>1404275398</v>
      </c>
      <c r="F9564">
        <v>-1277.93</v>
      </c>
    </row>
    <row r="9565" spans="1:6" hidden="1" x14ac:dyDescent="0.25">
      <c r="A9565" t="s">
        <v>694</v>
      </c>
      <c r="B9565" t="s">
        <v>200</v>
      </c>
      <c r="E9565" s="3">
        <f>HYPERLINK("https://sao.dolgi.msk.ru/account/1404274061/", 1404274061)</f>
        <v>1404274061</v>
      </c>
      <c r="F9565">
        <v>-2173.87</v>
      </c>
    </row>
    <row r="9566" spans="1:6" hidden="1" x14ac:dyDescent="0.25">
      <c r="A9566" t="s">
        <v>694</v>
      </c>
      <c r="B9566" t="s">
        <v>200</v>
      </c>
      <c r="E9566" s="3">
        <f>HYPERLINK("https://sao.dolgi.msk.ru/account/1404277019/", 1404277019)</f>
        <v>1404277019</v>
      </c>
      <c r="F9566">
        <v>-724.17</v>
      </c>
    </row>
    <row r="9567" spans="1:6" hidden="1" x14ac:dyDescent="0.25">
      <c r="A9567" t="s">
        <v>694</v>
      </c>
      <c r="B9567" t="s">
        <v>201</v>
      </c>
      <c r="E9567" s="3">
        <f>HYPERLINK("https://sao.dolgi.msk.ru/account/1404275419/", 1404275419)</f>
        <v>1404275419</v>
      </c>
      <c r="F9567">
        <v>0</v>
      </c>
    </row>
    <row r="9568" spans="1:6" hidden="1" x14ac:dyDescent="0.25">
      <c r="A9568" t="s">
        <v>694</v>
      </c>
      <c r="B9568" t="s">
        <v>202</v>
      </c>
      <c r="E9568" s="3">
        <f>HYPERLINK("https://sao.dolgi.msk.ru/account/1404279348/", 1404279348)</f>
        <v>1404279348</v>
      </c>
      <c r="F9568">
        <v>-1701.05</v>
      </c>
    </row>
    <row r="9569" spans="1:6" x14ac:dyDescent="0.25">
      <c r="A9569" t="s">
        <v>694</v>
      </c>
      <c r="B9569" t="s">
        <v>203</v>
      </c>
      <c r="C9569" s="5" t="str">
        <f t="shared" ref="C9569:C9570" si="423">" кв. "&amp;B9569</f>
        <v xml:space="preserve"> кв. 199</v>
      </c>
      <c r="D9569" s="5" t="str">
        <f>CONCATENATE(A9569,C9569)</f>
        <v>Прибрежный пр., дом 7 кв. 199</v>
      </c>
      <c r="E9569" s="3">
        <f>HYPERLINK("https://sao.dolgi.msk.ru/account/1404278572/", 1404278572)</f>
        <v>1404278572</v>
      </c>
      <c r="F9569">
        <v>1935.76</v>
      </c>
    </row>
    <row r="9570" spans="1:6" x14ac:dyDescent="0.25">
      <c r="A9570" t="s">
        <v>694</v>
      </c>
      <c r="B9570" t="s">
        <v>204</v>
      </c>
      <c r="C9570" s="5" t="str">
        <f t="shared" si="423"/>
        <v xml:space="preserve"> кв. 200</v>
      </c>
      <c r="D9570" s="5" t="str">
        <f>CONCATENATE(A9570,C9570)</f>
        <v>Прибрежный пр., дом 7 кв. 200</v>
      </c>
      <c r="E9570" s="3">
        <f>HYPERLINK("https://sao.dolgi.msk.ru/account/1404276163/", 1404276163)</f>
        <v>1404276163</v>
      </c>
      <c r="F9570">
        <v>1986.36</v>
      </c>
    </row>
    <row r="9571" spans="1:6" hidden="1" x14ac:dyDescent="0.25">
      <c r="A9571" t="s">
        <v>694</v>
      </c>
      <c r="B9571" t="s">
        <v>205</v>
      </c>
      <c r="E9571" s="3">
        <f>HYPERLINK("https://sao.dolgi.msk.ru/account/1404274088/", 1404274088)</f>
        <v>1404274088</v>
      </c>
      <c r="F9571">
        <v>-1525.29</v>
      </c>
    </row>
    <row r="9572" spans="1:6" hidden="1" x14ac:dyDescent="0.25">
      <c r="A9572" t="s">
        <v>694</v>
      </c>
      <c r="B9572" t="s">
        <v>206</v>
      </c>
      <c r="E9572" s="3">
        <f>HYPERLINK("https://sao.dolgi.msk.ru/account/1404275435/", 1404275435)</f>
        <v>1404275435</v>
      </c>
      <c r="F9572">
        <v>-2033.7</v>
      </c>
    </row>
    <row r="9573" spans="1:6" hidden="1" x14ac:dyDescent="0.25">
      <c r="A9573" t="s">
        <v>694</v>
      </c>
      <c r="B9573" t="s">
        <v>207</v>
      </c>
      <c r="E9573" s="3">
        <f>HYPERLINK("https://sao.dolgi.msk.ru/account/1404274096/", 1404274096)</f>
        <v>1404274096</v>
      </c>
      <c r="F9573">
        <v>-2865.68</v>
      </c>
    </row>
    <row r="9574" spans="1:6" hidden="1" x14ac:dyDescent="0.25">
      <c r="A9574" t="s">
        <v>694</v>
      </c>
      <c r="B9574" t="s">
        <v>208</v>
      </c>
      <c r="E9574" s="3">
        <f>HYPERLINK("https://sao.dolgi.msk.ru/account/1404279356/", 1404279356)</f>
        <v>1404279356</v>
      </c>
      <c r="F9574">
        <v>-2925.78</v>
      </c>
    </row>
    <row r="9575" spans="1:6" hidden="1" x14ac:dyDescent="0.25">
      <c r="A9575" t="s">
        <v>694</v>
      </c>
      <c r="B9575" t="s">
        <v>209</v>
      </c>
      <c r="E9575" s="3">
        <f>HYPERLINK("https://sao.dolgi.msk.ru/account/1404277027/", 1404277027)</f>
        <v>1404277027</v>
      </c>
      <c r="F9575">
        <v>-1455.95</v>
      </c>
    </row>
    <row r="9576" spans="1:6" x14ac:dyDescent="0.25">
      <c r="A9576" t="s">
        <v>694</v>
      </c>
      <c r="B9576" t="s">
        <v>210</v>
      </c>
      <c r="C9576" s="5" t="str">
        <f>" кв. "&amp;B9576</f>
        <v xml:space="preserve"> кв. 206</v>
      </c>
      <c r="D9576" s="5" t="str">
        <f>CONCATENATE(A9576,C9576)</f>
        <v>Прибрежный пр., дом 7 кв. 206</v>
      </c>
      <c r="E9576" s="3">
        <f>HYPERLINK("https://sao.dolgi.msk.ru/account/1404279364/", 1404279364)</f>
        <v>1404279364</v>
      </c>
      <c r="F9576">
        <v>699.03</v>
      </c>
    </row>
    <row r="9577" spans="1:6" hidden="1" x14ac:dyDescent="0.25">
      <c r="A9577" t="s">
        <v>694</v>
      </c>
      <c r="B9577" t="s">
        <v>211</v>
      </c>
      <c r="E9577" s="3">
        <f>HYPERLINK("https://sao.dolgi.msk.ru/account/1404277035/", 1404277035)</f>
        <v>1404277035</v>
      </c>
      <c r="F9577">
        <v>-1969.96</v>
      </c>
    </row>
    <row r="9578" spans="1:6" hidden="1" x14ac:dyDescent="0.25">
      <c r="A9578" t="s">
        <v>694</v>
      </c>
      <c r="B9578" t="s">
        <v>212</v>
      </c>
      <c r="E9578" s="3">
        <f>HYPERLINK("https://sao.dolgi.msk.ru/account/1404274109/", 1404274109)</f>
        <v>1404274109</v>
      </c>
      <c r="F9578">
        <v>-2907.29</v>
      </c>
    </row>
    <row r="9579" spans="1:6" hidden="1" x14ac:dyDescent="0.25">
      <c r="A9579" t="s">
        <v>694</v>
      </c>
      <c r="B9579" t="s">
        <v>213</v>
      </c>
      <c r="E9579" s="3">
        <f>HYPERLINK("https://sao.dolgi.msk.ru/account/1404274117/", 1404274117)</f>
        <v>1404274117</v>
      </c>
      <c r="F9579">
        <v>-1455.95</v>
      </c>
    </row>
    <row r="9580" spans="1:6" hidden="1" x14ac:dyDescent="0.25">
      <c r="A9580" t="s">
        <v>694</v>
      </c>
      <c r="B9580" t="s">
        <v>214</v>
      </c>
      <c r="E9580" s="3">
        <f>HYPERLINK("https://sao.dolgi.msk.ru/account/1404275443/", 1404275443)</f>
        <v>1404275443</v>
      </c>
      <c r="F9580">
        <v>-4180.6899999999996</v>
      </c>
    </row>
    <row r="9581" spans="1:6" hidden="1" x14ac:dyDescent="0.25">
      <c r="A9581" t="s">
        <v>694</v>
      </c>
      <c r="B9581" t="s">
        <v>215</v>
      </c>
      <c r="E9581" s="3">
        <f>HYPERLINK("https://sao.dolgi.msk.ru/account/1404277211/", 1404277211)</f>
        <v>1404277211</v>
      </c>
      <c r="F9581">
        <v>0</v>
      </c>
    </row>
    <row r="9582" spans="1:6" hidden="1" x14ac:dyDescent="0.25">
      <c r="A9582" t="s">
        <v>694</v>
      </c>
      <c r="B9582" t="s">
        <v>216</v>
      </c>
      <c r="E9582" s="3">
        <f>HYPERLINK("https://sao.dolgi.msk.ru/account/1404277975/", 1404277975)</f>
        <v>1404277975</v>
      </c>
      <c r="F9582">
        <v>-2448.41</v>
      </c>
    </row>
    <row r="9583" spans="1:6" hidden="1" x14ac:dyDescent="0.25">
      <c r="A9583" t="s">
        <v>694</v>
      </c>
      <c r="B9583" t="s">
        <v>217</v>
      </c>
      <c r="E9583" s="3">
        <f>HYPERLINK("https://sao.dolgi.msk.ru/account/1404274264/", 1404274264)</f>
        <v>1404274264</v>
      </c>
      <c r="F9583">
        <v>-459.6</v>
      </c>
    </row>
    <row r="9584" spans="1:6" hidden="1" x14ac:dyDescent="0.25">
      <c r="A9584" t="s">
        <v>694</v>
      </c>
      <c r="B9584" t="s">
        <v>218</v>
      </c>
      <c r="E9584" s="3">
        <f>HYPERLINK("https://sao.dolgi.msk.ru/account/1404274272/", 1404274272)</f>
        <v>1404274272</v>
      </c>
      <c r="F9584">
        <v>-2033.7</v>
      </c>
    </row>
    <row r="9585" spans="1:6" x14ac:dyDescent="0.25">
      <c r="A9585" t="s">
        <v>694</v>
      </c>
      <c r="B9585" t="s">
        <v>219</v>
      </c>
      <c r="C9585" s="5" t="str">
        <f>" кв. "&amp;B9585</f>
        <v xml:space="preserve"> кв. 215</v>
      </c>
      <c r="D9585" s="5" t="str">
        <f>CONCATENATE(A9585,C9585)</f>
        <v>Прибрежный пр., дом 7 кв. 215</v>
      </c>
      <c r="E9585" s="3">
        <f>HYPERLINK("https://sao.dolgi.msk.ru/account/1404277983/", 1404277983)</f>
        <v>1404277983</v>
      </c>
      <c r="F9585">
        <v>1980.04</v>
      </c>
    </row>
    <row r="9586" spans="1:6" hidden="1" x14ac:dyDescent="0.25">
      <c r="A9586" t="s">
        <v>694</v>
      </c>
      <c r="B9586" t="s">
        <v>220</v>
      </c>
      <c r="E9586" s="3">
        <f>HYPERLINK("https://sao.dolgi.msk.ru/account/1404276403/", 1404276403)</f>
        <v>1404276403</v>
      </c>
      <c r="F9586">
        <v>-3612.28</v>
      </c>
    </row>
    <row r="9587" spans="1:6" x14ac:dyDescent="0.25">
      <c r="A9587" t="s">
        <v>694</v>
      </c>
      <c r="B9587" t="s">
        <v>221</v>
      </c>
      <c r="C9587" s="5" t="str">
        <f>" кв. "&amp;B9587</f>
        <v xml:space="preserve"> кв. 217</v>
      </c>
      <c r="D9587" s="5" t="str">
        <f>CONCATENATE(A9587,C9587)</f>
        <v>Прибрежный пр., дом 7 кв. 217</v>
      </c>
      <c r="E9587" s="3">
        <f>HYPERLINK("https://sao.dolgi.msk.ru/account/1404274846/", 1404274846)</f>
        <v>1404274846</v>
      </c>
      <c r="F9587">
        <v>983.69</v>
      </c>
    </row>
    <row r="9588" spans="1:6" hidden="1" x14ac:dyDescent="0.25">
      <c r="A9588" t="s">
        <v>694</v>
      </c>
      <c r="B9588" t="s">
        <v>222</v>
      </c>
      <c r="E9588" s="3">
        <f>HYPERLINK("https://sao.dolgi.msk.ru/account/1404276286/", 1404276286)</f>
        <v>1404276286</v>
      </c>
      <c r="F9588">
        <v>-2052.19</v>
      </c>
    </row>
    <row r="9589" spans="1:6" hidden="1" x14ac:dyDescent="0.25">
      <c r="A9589" t="s">
        <v>694</v>
      </c>
      <c r="B9589" t="s">
        <v>223</v>
      </c>
      <c r="E9589" s="3">
        <f>HYPERLINK("https://sao.dolgi.msk.ru/account/1404277086/", 1404277086)</f>
        <v>1404277086</v>
      </c>
      <c r="F9589">
        <v>-2888.8</v>
      </c>
    </row>
    <row r="9590" spans="1:6" x14ac:dyDescent="0.25">
      <c r="A9590" t="s">
        <v>694</v>
      </c>
      <c r="B9590" t="s">
        <v>224</v>
      </c>
      <c r="C9590" s="5" t="str">
        <f>" кв. "&amp;B9590</f>
        <v xml:space="preserve"> кв. 220</v>
      </c>
      <c r="D9590" s="5" t="str">
        <f>CONCATENATE(A9590,C9590)</f>
        <v>Прибрежный пр., дом 7 кв. 220</v>
      </c>
      <c r="E9590" s="3">
        <f>HYPERLINK("https://sao.dolgi.msk.ru/account/1404274029/", 1404274029)</f>
        <v>1404274029</v>
      </c>
      <c r="F9590">
        <v>991.6</v>
      </c>
    </row>
    <row r="9591" spans="1:6" hidden="1" x14ac:dyDescent="0.25">
      <c r="A9591" t="s">
        <v>694</v>
      </c>
      <c r="B9591" t="s">
        <v>224</v>
      </c>
      <c r="E9591" s="3">
        <f>HYPERLINK("https://sao.dolgi.msk.ru/account/1404277895/", 1404277895)</f>
        <v>1404277895</v>
      </c>
      <c r="F9591">
        <v>-1449.02</v>
      </c>
    </row>
    <row r="9592" spans="1:6" hidden="1" x14ac:dyDescent="0.25">
      <c r="A9592" t="s">
        <v>694</v>
      </c>
      <c r="B9592" t="s">
        <v>225</v>
      </c>
      <c r="E9592" s="3">
        <f>HYPERLINK("https://sao.dolgi.msk.ru/account/1404274707/", 1404274707)</f>
        <v>1404274707</v>
      </c>
      <c r="F9592">
        <v>-1455.95</v>
      </c>
    </row>
    <row r="9593" spans="1:6" hidden="1" x14ac:dyDescent="0.25">
      <c r="A9593" t="s">
        <v>694</v>
      </c>
      <c r="B9593" t="s">
        <v>226</v>
      </c>
      <c r="E9593" s="3">
        <f>HYPERLINK("https://sao.dolgi.msk.ru/account/1404276294/", 1404276294)</f>
        <v>1404276294</v>
      </c>
      <c r="F9593">
        <v>0</v>
      </c>
    </row>
    <row r="9594" spans="1:6" hidden="1" x14ac:dyDescent="0.25">
      <c r="A9594" t="s">
        <v>694</v>
      </c>
      <c r="B9594" t="s">
        <v>227</v>
      </c>
      <c r="E9594" s="3">
        <f>HYPERLINK("https://sao.dolgi.msk.ru/account/1404277094/", 1404277094)</f>
        <v>1404277094</v>
      </c>
      <c r="F9594">
        <v>0</v>
      </c>
    </row>
    <row r="9595" spans="1:6" hidden="1" x14ac:dyDescent="0.25">
      <c r="A9595" t="s">
        <v>694</v>
      </c>
      <c r="B9595" t="s">
        <v>228</v>
      </c>
      <c r="E9595" s="3">
        <f>HYPERLINK("https://sao.dolgi.msk.ru/account/1404274715/", 1404274715)</f>
        <v>1404274715</v>
      </c>
      <c r="F9595">
        <v>-1455.96</v>
      </c>
    </row>
    <row r="9596" spans="1:6" x14ac:dyDescent="0.25">
      <c r="A9596" t="s">
        <v>694</v>
      </c>
      <c r="B9596" t="s">
        <v>229</v>
      </c>
      <c r="C9596" s="5" t="str">
        <f t="shared" ref="C9596:C9597" si="424">" кв. "&amp;B9596</f>
        <v xml:space="preserve"> кв. 225</v>
      </c>
      <c r="D9596" s="5" t="str">
        <f>CONCATENATE(A9596,C9596)</f>
        <v>Прибрежный пр., дом 7 кв. 225</v>
      </c>
      <c r="E9596" s="3">
        <f>HYPERLINK("https://sao.dolgi.msk.ru/account/1404275179/", 1404275179)</f>
        <v>1404275179</v>
      </c>
      <c r="F9596">
        <v>993.18</v>
      </c>
    </row>
    <row r="9597" spans="1:6" x14ac:dyDescent="0.25">
      <c r="A9597" t="s">
        <v>694</v>
      </c>
      <c r="B9597" t="s">
        <v>230</v>
      </c>
      <c r="C9597" s="5" t="str">
        <f t="shared" si="424"/>
        <v xml:space="preserve"> кв. 226</v>
      </c>
      <c r="D9597" s="5" t="str">
        <f>CONCATENATE(A9597,C9597)</f>
        <v>Прибрежный пр., дом 7 кв. 226</v>
      </c>
      <c r="E9597" s="3">
        <f>HYPERLINK("https://sao.dolgi.msk.ru/account/1404275187/", 1404275187)</f>
        <v>1404275187</v>
      </c>
      <c r="F9597">
        <v>1394.88</v>
      </c>
    </row>
    <row r="9598" spans="1:6" hidden="1" x14ac:dyDescent="0.25">
      <c r="A9598" t="s">
        <v>694</v>
      </c>
      <c r="B9598" t="s">
        <v>231</v>
      </c>
      <c r="E9598" s="3">
        <f>HYPERLINK("https://sao.dolgi.msk.ru/account/1404274483/", 1404274483)</f>
        <v>1404274483</v>
      </c>
      <c r="F9598">
        <v>0</v>
      </c>
    </row>
    <row r="9599" spans="1:6" hidden="1" x14ac:dyDescent="0.25">
      <c r="A9599" t="s">
        <v>694</v>
      </c>
      <c r="B9599" t="s">
        <v>232</v>
      </c>
      <c r="E9599" s="3">
        <f>HYPERLINK("https://sao.dolgi.msk.ru/account/1404275945/", 1404275945)</f>
        <v>1404275945</v>
      </c>
      <c r="F9599">
        <v>-2911.91</v>
      </c>
    </row>
    <row r="9600" spans="1:6" hidden="1" x14ac:dyDescent="0.25">
      <c r="A9600" t="s">
        <v>694</v>
      </c>
      <c r="B9600" t="s">
        <v>233</v>
      </c>
      <c r="E9600" s="3">
        <f>HYPERLINK("https://sao.dolgi.msk.ru/account/1404275953/", 1404275953)</f>
        <v>1404275953</v>
      </c>
      <c r="F9600">
        <v>-1446.7</v>
      </c>
    </row>
    <row r="9601" spans="1:6" hidden="1" x14ac:dyDescent="0.25">
      <c r="A9601" t="s">
        <v>694</v>
      </c>
      <c r="B9601" t="s">
        <v>234</v>
      </c>
      <c r="E9601" s="3">
        <f>HYPERLINK("https://sao.dolgi.msk.ru/account/1404275195/", 1404275195)</f>
        <v>1404275195</v>
      </c>
      <c r="F9601">
        <v>0</v>
      </c>
    </row>
    <row r="9602" spans="1:6" hidden="1" x14ac:dyDescent="0.25">
      <c r="A9602" t="s">
        <v>694</v>
      </c>
      <c r="B9602" t="s">
        <v>235</v>
      </c>
      <c r="E9602" s="3">
        <f>HYPERLINK("https://sao.dolgi.msk.ru/account/1404278388/", 1404278388)</f>
        <v>1404278388</v>
      </c>
      <c r="F9602">
        <v>-2861.06</v>
      </c>
    </row>
    <row r="9603" spans="1:6" hidden="1" x14ac:dyDescent="0.25">
      <c r="A9603" t="s">
        <v>694</v>
      </c>
      <c r="B9603" t="s">
        <v>239</v>
      </c>
      <c r="E9603" s="3">
        <f>HYPERLINK("https://sao.dolgi.msk.ru/account/1404273739/", 1404273739)</f>
        <v>1404273739</v>
      </c>
      <c r="F9603">
        <v>-2921.16</v>
      </c>
    </row>
    <row r="9604" spans="1:6" hidden="1" x14ac:dyDescent="0.25">
      <c r="A9604" t="s">
        <v>694</v>
      </c>
      <c r="B9604" t="s">
        <v>240</v>
      </c>
      <c r="E9604" s="3">
        <f>HYPERLINK("https://sao.dolgi.msk.ru/account/1404278396/", 1404278396)</f>
        <v>1404278396</v>
      </c>
      <c r="F9604">
        <v>-1451.32</v>
      </c>
    </row>
    <row r="9605" spans="1:6" hidden="1" x14ac:dyDescent="0.25">
      <c r="A9605" t="s">
        <v>694</v>
      </c>
      <c r="B9605" t="s">
        <v>241</v>
      </c>
      <c r="E9605" s="3">
        <f>HYPERLINK("https://sao.dolgi.msk.ru/account/1404275961/", 1404275961)</f>
        <v>1404275961</v>
      </c>
      <c r="F9605">
        <v>-2033.7</v>
      </c>
    </row>
    <row r="9606" spans="1:6" hidden="1" x14ac:dyDescent="0.25">
      <c r="A9606" t="s">
        <v>694</v>
      </c>
      <c r="B9606" t="s">
        <v>242</v>
      </c>
      <c r="E9606" s="3">
        <f>HYPERLINK("https://sao.dolgi.msk.ru/account/1404279081/", 1404279081)</f>
        <v>1404279081</v>
      </c>
      <c r="F9606">
        <v>-2874.93</v>
      </c>
    </row>
    <row r="9607" spans="1:6" hidden="1" x14ac:dyDescent="0.25">
      <c r="A9607" t="s">
        <v>694</v>
      </c>
      <c r="B9607" t="s">
        <v>243</v>
      </c>
      <c r="E9607" s="3">
        <f>HYPERLINK("https://sao.dolgi.msk.ru/account/1404279102/", 1404279102)</f>
        <v>1404279102</v>
      </c>
      <c r="F9607">
        <v>-2930.38</v>
      </c>
    </row>
    <row r="9608" spans="1:6" x14ac:dyDescent="0.25">
      <c r="A9608" t="s">
        <v>694</v>
      </c>
      <c r="B9608" t="s">
        <v>244</v>
      </c>
      <c r="C9608" s="5" t="str">
        <f>" кв. "&amp;B9608</f>
        <v xml:space="preserve"> кв. 237</v>
      </c>
      <c r="D9608" s="5" t="str">
        <f>CONCATENATE(A9608,C9608)</f>
        <v>Прибрежный пр., дом 7 кв. 237</v>
      </c>
      <c r="E9608" s="3">
        <f>HYPERLINK("https://sao.dolgi.msk.ru/account/1404279129/", 1404279129)</f>
        <v>1404279129</v>
      </c>
      <c r="F9608">
        <v>993.18</v>
      </c>
    </row>
    <row r="9609" spans="1:6" hidden="1" x14ac:dyDescent="0.25">
      <c r="A9609" t="s">
        <v>694</v>
      </c>
      <c r="B9609" t="s">
        <v>245</v>
      </c>
      <c r="E9609" s="3">
        <f>HYPERLINK("https://sao.dolgi.msk.ru/account/1404278409/", 1404278409)</f>
        <v>1404278409</v>
      </c>
      <c r="F9609">
        <v>-2038.32</v>
      </c>
    </row>
    <row r="9610" spans="1:6" x14ac:dyDescent="0.25">
      <c r="A9610" t="s">
        <v>694</v>
      </c>
      <c r="B9610" t="s">
        <v>246</v>
      </c>
      <c r="C9610" s="5" t="str">
        <f>" кв. "&amp;B9610</f>
        <v xml:space="preserve"> кв. 239</v>
      </c>
      <c r="D9610" s="5" t="str">
        <f>CONCATENATE(A9610,C9610)</f>
        <v>Прибрежный пр., дом 7 кв. 239</v>
      </c>
      <c r="E9610" s="3">
        <f>HYPERLINK("https://sao.dolgi.msk.ru/account/1404273747/", 1404273747)</f>
        <v>1404273747</v>
      </c>
      <c r="F9610">
        <v>1967.39</v>
      </c>
    </row>
    <row r="9611" spans="1:6" hidden="1" x14ac:dyDescent="0.25">
      <c r="A9611" t="s">
        <v>694</v>
      </c>
      <c r="B9611" t="s">
        <v>247</v>
      </c>
      <c r="E9611" s="3">
        <f>HYPERLINK("https://sao.dolgi.msk.ru/account/1404278417/", 1404278417)</f>
        <v>1404278417</v>
      </c>
      <c r="F9611">
        <v>0</v>
      </c>
    </row>
    <row r="9612" spans="1:6" x14ac:dyDescent="0.25">
      <c r="A9612" t="s">
        <v>694</v>
      </c>
      <c r="B9612" t="s">
        <v>248</v>
      </c>
      <c r="C9612" s="5" t="str">
        <f>" кв. "&amp;B9612</f>
        <v xml:space="preserve"> кв. 241</v>
      </c>
      <c r="D9612" s="5" t="str">
        <f>CONCATENATE(A9612,C9612)</f>
        <v>Прибрежный пр., дом 7 кв. 241</v>
      </c>
      <c r="E9612" s="3">
        <f>HYPERLINK("https://sao.dolgi.msk.ru/account/1404277609/", 1404277609)</f>
        <v>1404277609</v>
      </c>
      <c r="F9612">
        <v>834.75</v>
      </c>
    </row>
    <row r="9613" spans="1:6" hidden="1" x14ac:dyDescent="0.25">
      <c r="A9613" t="s">
        <v>694</v>
      </c>
      <c r="B9613" t="s">
        <v>249</v>
      </c>
      <c r="E9613" s="3">
        <f>HYPERLINK("https://sao.dolgi.msk.ru/account/1404276796/", 1404276796)</f>
        <v>1404276796</v>
      </c>
      <c r="F9613">
        <v>-1836.75</v>
      </c>
    </row>
    <row r="9614" spans="1:6" hidden="1" x14ac:dyDescent="0.25">
      <c r="A9614" t="s">
        <v>694</v>
      </c>
      <c r="B9614" t="s">
        <v>250</v>
      </c>
      <c r="E9614" s="3">
        <f>HYPERLINK("https://sao.dolgi.msk.ru/account/1404273763/", 1404273763)</f>
        <v>1404273763</v>
      </c>
      <c r="F9614">
        <v>-1714.45</v>
      </c>
    </row>
    <row r="9615" spans="1:6" hidden="1" x14ac:dyDescent="0.25">
      <c r="A9615" t="s">
        <v>694</v>
      </c>
      <c r="B9615" t="s">
        <v>251</v>
      </c>
      <c r="E9615" s="3">
        <f>HYPERLINK("https://sao.dolgi.msk.ru/account/1404275208/", 1404275208)</f>
        <v>1404275208</v>
      </c>
      <c r="F9615">
        <v>-2865.68</v>
      </c>
    </row>
    <row r="9616" spans="1:6" x14ac:dyDescent="0.25">
      <c r="A9616" t="s">
        <v>694</v>
      </c>
      <c r="B9616" t="s">
        <v>252</v>
      </c>
      <c r="C9616" s="5" t="str">
        <f>" кв. "&amp;B9616</f>
        <v xml:space="preserve"> кв. 245</v>
      </c>
      <c r="D9616" s="5" t="str">
        <f>CONCATENATE(A9616,C9616)</f>
        <v>Прибрежный пр., дом 7 кв. 245</v>
      </c>
      <c r="E9616" s="3">
        <f>HYPERLINK("https://sao.dolgi.msk.ru/account/1404273771/", 1404273771)</f>
        <v>1404273771</v>
      </c>
      <c r="F9616">
        <v>999.51</v>
      </c>
    </row>
    <row r="9617" spans="1:6" hidden="1" x14ac:dyDescent="0.25">
      <c r="A9617" t="s">
        <v>694</v>
      </c>
      <c r="B9617" t="s">
        <v>253</v>
      </c>
      <c r="E9617" s="3">
        <f>HYPERLINK("https://sao.dolgi.msk.ru/account/1404279137/", 1404279137)</f>
        <v>1404279137</v>
      </c>
      <c r="F9617">
        <v>-2052.19</v>
      </c>
    </row>
    <row r="9618" spans="1:6" hidden="1" x14ac:dyDescent="0.25">
      <c r="A9618" t="s">
        <v>694</v>
      </c>
      <c r="B9618" t="s">
        <v>254</v>
      </c>
      <c r="E9618" s="3">
        <f>HYPERLINK("https://sao.dolgi.msk.ru/account/1404273798/", 1404273798)</f>
        <v>1404273798</v>
      </c>
      <c r="F9618">
        <v>-2930.38</v>
      </c>
    </row>
    <row r="9619" spans="1:6" hidden="1" x14ac:dyDescent="0.25">
      <c r="A9619" t="s">
        <v>694</v>
      </c>
      <c r="B9619" t="s">
        <v>255</v>
      </c>
      <c r="E9619" s="3">
        <f>HYPERLINK("https://sao.dolgi.msk.ru/account/1404275988/", 1404275988)</f>
        <v>1404275988</v>
      </c>
      <c r="F9619">
        <v>-2107.66</v>
      </c>
    </row>
    <row r="9620" spans="1:6" x14ac:dyDescent="0.25">
      <c r="A9620" t="s">
        <v>694</v>
      </c>
      <c r="B9620" t="s">
        <v>256</v>
      </c>
      <c r="C9620" s="5" t="str">
        <f>" кв. "&amp;B9620</f>
        <v xml:space="preserve"> кв. 249</v>
      </c>
      <c r="D9620" s="5" t="str">
        <f>CONCATENATE(A9620,C9620)</f>
        <v>Прибрежный пр., дом 7 кв. 249</v>
      </c>
      <c r="E9620" s="3">
        <f>HYPERLINK("https://sao.dolgi.msk.ru/account/1404275996/", 1404275996)</f>
        <v>1404275996</v>
      </c>
      <c r="F9620">
        <v>502.91</v>
      </c>
    </row>
    <row r="9621" spans="1:6" hidden="1" x14ac:dyDescent="0.25">
      <c r="A9621" t="s">
        <v>694</v>
      </c>
      <c r="B9621" t="s">
        <v>257</v>
      </c>
      <c r="E9621" s="3">
        <f>HYPERLINK("https://sao.dolgi.msk.ru/account/1404276032/", 1404276032)</f>
        <v>1404276032</v>
      </c>
      <c r="F9621">
        <v>-2056.8200000000002</v>
      </c>
    </row>
    <row r="9622" spans="1:6" x14ac:dyDescent="0.25">
      <c r="A9622" t="s">
        <v>694</v>
      </c>
      <c r="B9622" t="s">
        <v>258</v>
      </c>
      <c r="C9622" s="5" t="str">
        <f>" кв. "&amp;B9622</f>
        <v xml:space="preserve"> кв. 251</v>
      </c>
      <c r="D9622" s="5" t="str">
        <f>CONCATENATE(A9622,C9622)</f>
        <v>Прибрежный пр., дом 7 кв. 251</v>
      </c>
      <c r="E9622" s="3">
        <f>HYPERLINK("https://sao.dolgi.msk.ru/account/1404274512/", 1404274512)</f>
        <v>1404274512</v>
      </c>
      <c r="F9622">
        <v>1477.12</v>
      </c>
    </row>
    <row r="9623" spans="1:6" hidden="1" x14ac:dyDescent="0.25">
      <c r="A9623" t="s">
        <v>694</v>
      </c>
      <c r="B9623" t="s">
        <v>259</v>
      </c>
      <c r="E9623" s="3">
        <f>HYPERLINK("https://sao.dolgi.msk.ru/account/1404279153/", 1404279153)</f>
        <v>1404279153</v>
      </c>
      <c r="F9623">
        <v>-2888.8</v>
      </c>
    </row>
    <row r="9624" spans="1:6" hidden="1" x14ac:dyDescent="0.25">
      <c r="A9624" t="s">
        <v>694</v>
      </c>
      <c r="B9624" t="s">
        <v>260</v>
      </c>
      <c r="E9624" s="3">
        <f>HYPERLINK("https://sao.dolgi.msk.ru/account/1404275259/", 1404275259)</f>
        <v>1404275259</v>
      </c>
      <c r="F9624">
        <v>-1460.57</v>
      </c>
    </row>
    <row r="9625" spans="1:6" hidden="1" x14ac:dyDescent="0.25">
      <c r="A9625" t="s">
        <v>694</v>
      </c>
      <c r="B9625" t="s">
        <v>261</v>
      </c>
      <c r="E9625" s="3">
        <f>HYPERLINK("https://sao.dolgi.msk.ru/account/1404273843/", 1404273843)</f>
        <v>1404273843</v>
      </c>
      <c r="F9625">
        <v>0</v>
      </c>
    </row>
    <row r="9626" spans="1:6" hidden="1" x14ac:dyDescent="0.25">
      <c r="A9626" t="s">
        <v>694</v>
      </c>
      <c r="B9626" t="s">
        <v>262</v>
      </c>
      <c r="E9626" s="3">
        <f>HYPERLINK("https://sao.dolgi.msk.ru/account/1404276059/", 1404276059)</f>
        <v>1404276059</v>
      </c>
      <c r="F9626">
        <v>-1458.26</v>
      </c>
    </row>
    <row r="9627" spans="1:6" hidden="1" x14ac:dyDescent="0.25">
      <c r="A9627" t="s">
        <v>694</v>
      </c>
      <c r="B9627" t="s">
        <v>263</v>
      </c>
      <c r="E9627" s="3">
        <f>HYPERLINK("https://sao.dolgi.msk.ru/account/1404273851/", 1404273851)</f>
        <v>1404273851</v>
      </c>
      <c r="F9627">
        <v>-2166.6</v>
      </c>
    </row>
    <row r="9628" spans="1:6" x14ac:dyDescent="0.25">
      <c r="A9628" t="s">
        <v>694</v>
      </c>
      <c r="B9628" t="s">
        <v>264</v>
      </c>
      <c r="C9628" s="5" t="str">
        <f>" кв. "&amp;B9628</f>
        <v xml:space="preserve"> кв. 257</v>
      </c>
      <c r="D9628" s="5" t="str">
        <f>CONCATENATE(A9628,C9628)</f>
        <v>Прибрежный пр., дом 7 кв. 257</v>
      </c>
      <c r="E9628" s="3">
        <f>HYPERLINK("https://sao.dolgi.msk.ru/account/1404274918/", 1404274918)</f>
        <v>1404274918</v>
      </c>
      <c r="F9628">
        <v>1002.67</v>
      </c>
    </row>
    <row r="9629" spans="1:6" hidden="1" x14ac:dyDescent="0.25">
      <c r="A9629" t="s">
        <v>694</v>
      </c>
      <c r="B9629" t="s">
        <v>265</v>
      </c>
      <c r="E9629" s="3">
        <f>HYPERLINK("https://sao.dolgi.msk.ru/account/1404277318/", 1404277318)</f>
        <v>1404277318</v>
      </c>
      <c r="F9629">
        <v>-2052.19</v>
      </c>
    </row>
    <row r="9630" spans="1:6" hidden="1" x14ac:dyDescent="0.25">
      <c r="A9630" t="s">
        <v>694</v>
      </c>
      <c r="B9630" t="s">
        <v>266</v>
      </c>
      <c r="E9630" s="3">
        <f>HYPERLINK("https://sao.dolgi.msk.ru/account/1404274336/", 1404274336)</f>
        <v>1404274336</v>
      </c>
      <c r="F9630">
        <v>-1950.98</v>
      </c>
    </row>
    <row r="9631" spans="1:6" x14ac:dyDescent="0.25">
      <c r="A9631" t="s">
        <v>694</v>
      </c>
      <c r="B9631" t="s">
        <v>267</v>
      </c>
      <c r="C9631" s="5" t="str">
        <f t="shared" ref="C9631:C9632" si="425">" кв. "&amp;B9631</f>
        <v xml:space="preserve"> кв. 260</v>
      </c>
      <c r="D9631" s="5" t="str">
        <f>CONCATENATE(A9631,C9631)</f>
        <v>Прибрежный пр., дом 7 кв. 260</v>
      </c>
      <c r="E9631" s="3">
        <f>HYPERLINK("https://sao.dolgi.msk.ru/account/1404278783/", 1404278783)</f>
        <v>1404278783</v>
      </c>
      <c r="F9631">
        <v>1976.88</v>
      </c>
    </row>
    <row r="9632" spans="1:6" x14ac:dyDescent="0.25">
      <c r="A9632" t="s">
        <v>694</v>
      </c>
      <c r="B9632" t="s">
        <v>268</v>
      </c>
      <c r="C9632" s="5" t="str">
        <f t="shared" si="425"/>
        <v xml:space="preserve"> кв. 261</v>
      </c>
      <c r="D9632" s="5" t="str">
        <f>CONCATENATE(A9632,C9632)</f>
        <v>Прибрежный пр., дом 7 кв. 261</v>
      </c>
      <c r="E9632" s="3">
        <f>HYPERLINK("https://sao.dolgi.msk.ru/account/1404278791/", 1404278791)</f>
        <v>1404278791</v>
      </c>
      <c r="F9632">
        <v>999.51</v>
      </c>
    </row>
    <row r="9633" spans="1:6" hidden="1" x14ac:dyDescent="0.25">
      <c r="A9633" t="s">
        <v>694</v>
      </c>
      <c r="B9633" t="s">
        <v>269</v>
      </c>
      <c r="E9633" s="3">
        <f>HYPERLINK("https://sao.dolgi.msk.ru/account/1404278804/", 1404278804)</f>
        <v>1404278804</v>
      </c>
      <c r="F9633">
        <v>-1030.71</v>
      </c>
    </row>
    <row r="9634" spans="1:6" hidden="1" x14ac:dyDescent="0.25">
      <c r="A9634" t="s">
        <v>694</v>
      </c>
      <c r="B9634" t="s">
        <v>270</v>
      </c>
      <c r="E9634" s="3">
        <f>HYPERLINK("https://sao.dolgi.msk.ru/account/1404277326/", 1404277326)</f>
        <v>1404277326</v>
      </c>
      <c r="F9634">
        <v>-1826.41</v>
      </c>
    </row>
    <row r="9635" spans="1:6" hidden="1" x14ac:dyDescent="0.25">
      <c r="A9635" t="s">
        <v>694</v>
      </c>
      <c r="B9635" t="s">
        <v>271</v>
      </c>
      <c r="E9635" s="3">
        <f>HYPERLINK("https://sao.dolgi.msk.ru/account/1404275689/", 1404275689)</f>
        <v>1404275689</v>
      </c>
      <c r="F9635">
        <v>0</v>
      </c>
    </row>
    <row r="9636" spans="1:6" hidden="1" x14ac:dyDescent="0.25">
      <c r="A9636" t="s">
        <v>694</v>
      </c>
      <c r="B9636" t="s">
        <v>272</v>
      </c>
      <c r="E9636" s="3">
        <f>HYPERLINK("https://sao.dolgi.msk.ru/account/1404276489/", 1404276489)</f>
        <v>1404276489</v>
      </c>
      <c r="F9636">
        <v>-1460.57</v>
      </c>
    </row>
    <row r="9637" spans="1:6" x14ac:dyDescent="0.25">
      <c r="A9637" t="s">
        <v>694</v>
      </c>
      <c r="B9637" t="s">
        <v>273</v>
      </c>
      <c r="C9637" s="5" t="str">
        <f>" кв. "&amp;B9637</f>
        <v xml:space="preserve"> кв. 266</v>
      </c>
      <c r="D9637" s="5" t="str">
        <f>CONCATENATE(A9637,C9637)</f>
        <v>Прибрежный пр., дом 7 кв. 266</v>
      </c>
      <c r="E9637" s="3">
        <f>HYPERLINK("https://sao.dolgi.msk.ru/account/1404278118/", 1404278118)</f>
        <v>1404278118</v>
      </c>
      <c r="F9637">
        <v>885.64</v>
      </c>
    </row>
    <row r="9638" spans="1:6" hidden="1" x14ac:dyDescent="0.25">
      <c r="A9638" t="s">
        <v>694</v>
      </c>
      <c r="B9638" t="s">
        <v>274</v>
      </c>
      <c r="E9638" s="3">
        <f>HYPERLINK("https://sao.dolgi.msk.ru/account/1404276497/", 1404276497)</f>
        <v>1404276497</v>
      </c>
      <c r="F9638">
        <v>-2426.59</v>
      </c>
    </row>
    <row r="9639" spans="1:6" hidden="1" x14ac:dyDescent="0.25">
      <c r="A9639" t="s">
        <v>694</v>
      </c>
      <c r="B9639" t="s">
        <v>275</v>
      </c>
      <c r="E9639" s="3">
        <f>HYPERLINK("https://sao.dolgi.msk.ru/account/1404278126/", 1404278126)</f>
        <v>1404278126</v>
      </c>
      <c r="F9639">
        <v>0</v>
      </c>
    </row>
    <row r="9640" spans="1:6" x14ac:dyDescent="0.25">
      <c r="A9640" t="s">
        <v>694</v>
      </c>
      <c r="B9640" t="s">
        <v>276</v>
      </c>
      <c r="C9640" s="5" t="str">
        <f>" кв. "&amp;B9640</f>
        <v xml:space="preserve"> кв. 269</v>
      </c>
      <c r="D9640" s="5" t="str">
        <f>CONCATENATE(A9640,C9640)</f>
        <v>Прибрежный пр., дом 7 кв. 269</v>
      </c>
      <c r="E9640" s="3">
        <f>HYPERLINK("https://sao.dolgi.msk.ru/account/1404277334/", 1404277334)</f>
        <v>1404277334</v>
      </c>
      <c r="F9640">
        <v>999.51</v>
      </c>
    </row>
    <row r="9641" spans="1:6" hidden="1" x14ac:dyDescent="0.25">
      <c r="A9641" t="s">
        <v>694</v>
      </c>
      <c r="B9641" t="s">
        <v>277</v>
      </c>
      <c r="E9641" s="3">
        <f>HYPERLINK("https://sao.dolgi.msk.ru/account/1404278134/", 1404278134)</f>
        <v>1404278134</v>
      </c>
      <c r="F9641">
        <v>0</v>
      </c>
    </row>
    <row r="9642" spans="1:6" hidden="1" x14ac:dyDescent="0.25">
      <c r="A9642" t="s">
        <v>694</v>
      </c>
      <c r="B9642" t="s">
        <v>278</v>
      </c>
      <c r="E9642" s="3">
        <f>HYPERLINK("https://sao.dolgi.msk.ru/account/1404278142/", 1404278142)</f>
        <v>1404278142</v>
      </c>
      <c r="F9642">
        <v>-2916.53</v>
      </c>
    </row>
    <row r="9643" spans="1:6" hidden="1" x14ac:dyDescent="0.25">
      <c r="A9643" t="s">
        <v>694</v>
      </c>
      <c r="B9643" t="s">
        <v>279</v>
      </c>
      <c r="E9643" s="3">
        <f>HYPERLINK("https://sao.dolgi.msk.ru/account/1404276518/", 1404276518)</f>
        <v>1404276518</v>
      </c>
      <c r="F9643">
        <v>-2710.56</v>
      </c>
    </row>
    <row r="9644" spans="1:6" hidden="1" x14ac:dyDescent="0.25">
      <c r="A9644" t="s">
        <v>694</v>
      </c>
      <c r="B9644" t="s">
        <v>280</v>
      </c>
      <c r="E9644" s="3">
        <f>HYPERLINK("https://sao.dolgi.msk.ru/account/1404278169/", 1404278169)</f>
        <v>1404278169</v>
      </c>
      <c r="F9644">
        <v>-725.65</v>
      </c>
    </row>
    <row r="9645" spans="1:6" hidden="1" x14ac:dyDescent="0.25">
      <c r="A9645" t="s">
        <v>694</v>
      </c>
      <c r="B9645" t="s">
        <v>281</v>
      </c>
      <c r="E9645" s="3">
        <f>HYPERLINK("https://sao.dolgi.msk.ru/account/1404278089/", 1404278089)</f>
        <v>1404278089</v>
      </c>
      <c r="F9645">
        <v>-2093.8000000000002</v>
      </c>
    </row>
    <row r="9646" spans="1:6" x14ac:dyDescent="0.25">
      <c r="A9646" t="s">
        <v>694</v>
      </c>
      <c r="B9646" t="s">
        <v>282</v>
      </c>
      <c r="C9646" s="5" t="str">
        <f>" кв. "&amp;B9646</f>
        <v xml:space="preserve"> кв. 275</v>
      </c>
      <c r="D9646" s="5" t="str">
        <f>CONCATENATE(A9646,C9646)</f>
        <v>Прибрежный пр., дом 7 кв. 275</v>
      </c>
      <c r="E9646" s="3">
        <f>HYPERLINK("https://sao.dolgi.msk.ru/account/1404277342/", 1404277342)</f>
        <v>1404277342</v>
      </c>
      <c r="F9646">
        <v>999.51</v>
      </c>
    </row>
    <row r="9647" spans="1:6" hidden="1" x14ac:dyDescent="0.25">
      <c r="A9647" t="s">
        <v>694</v>
      </c>
      <c r="B9647" t="s">
        <v>283</v>
      </c>
      <c r="E9647" s="3">
        <f>HYPERLINK("https://sao.dolgi.msk.ru/account/1404278177/", 1404278177)</f>
        <v>1404278177</v>
      </c>
      <c r="F9647">
        <v>-2752.6</v>
      </c>
    </row>
    <row r="9648" spans="1:6" hidden="1" x14ac:dyDescent="0.25">
      <c r="A9648" t="s">
        <v>694</v>
      </c>
      <c r="B9648" t="s">
        <v>284</v>
      </c>
      <c r="E9648" s="3">
        <f>HYPERLINK("https://sao.dolgi.msk.ru/account/1404276139/", 1404276139)</f>
        <v>1404276139</v>
      </c>
      <c r="F9648">
        <v>-727.98</v>
      </c>
    </row>
    <row r="9649" spans="1:6" x14ac:dyDescent="0.25">
      <c r="A9649" t="s">
        <v>694</v>
      </c>
      <c r="B9649" t="s">
        <v>285</v>
      </c>
      <c r="C9649" s="5" t="str">
        <f t="shared" ref="C9649:C9650" si="426">" кв. "&amp;B9649</f>
        <v xml:space="preserve"> кв. 278</v>
      </c>
      <c r="D9649" s="5" t="str">
        <f>CONCATENATE(A9649,C9649)</f>
        <v>Прибрежный пр., дом 7 кв. 278</v>
      </c>
      <c r="E9649" s="3">
        <f>HYPERLINK("https://sao.dolgi.msk.ru/account/1404278185/", 1404278185)</f>
        <v>1404278185</v>
      </c>
      <c r="F9649">
        <v>1404.37</v>
      </c>
    </row>
    <row r="9650" spans="1:6" x14ac:dyDescent="0.25">
      <c r="A9650" t="s">
        <v>694</v>
      </c>
      <c r="B9650" t="s">
        <v>286</v>
      </c>
      <c r="C9650" s="5" t="str">
        <f t="shared" si="426"/>
        <v xml:space="preserve"> кв. 279</v>
      </c>
      <c r="D9650" s="5" t="str">
        <f>CONCATENATE(A9650,C9650)</f>
        <v>Прибрежный пр., дом 7 кв. 279</v>
      </c>
      <c r="E9650" s="3">
        <f>HYPERLINK("https://sao.dolgi.msk.ru/account/1404276147/", 1404276147)</f>
        <v>1404276147</v>
      </c>
      <c r="F9650">
        <v>1992.69</v>
      </c>
    </row>
    <row r="9651" spans="1:6" hidden="1" x14ac:dyDescent="0.25">
      <c r="A9651" t="s">
        <v>694</v>
      </c>
      <c r="B9651" t="s">
        <v>287</v>
      </c>
      <c r="E9651" s="3">
        <f>HYPERLINK("https://sao.dolgi.msk.ru/account/1404274037/", 1404274037)</f>
        <v>1404274037</v>
      </c>
      <c r="F9651">
        <v>0</v>
      </c>
    </row>
    <row r="9652" spans="1:6" hidden="1" x14ac:dyDescent="0.25">
      <c r="A9652" t="s">
        <v>694</v>
      </c>
      <c r="B9652" t="s">
        <v>288</v>
      </c>
      <c r="E9652" s="3">
        <f>HYPERLINK("https://sao.dolgi.msk.ru/account/1404279292/", 1404279292)</f>
        <v>1404279292</v>
      </c>
      <c r="F9652">
        <v>0</v>
      </c>
    </row>
    <row r="9653" spans="1:6" hidden="1" x14ac:dyDescent="0.25">
      <c r="A9653" t="s">
        <v>694</v>
      </c>
      <c r="B9653" t="s">
        <v>289</v>
      </c>
      <c r="E9653" s="3">
        <f>HYPERLINK("https://sao.dolgi.msk.ru/account/1404276892/", 1404276892)</f>
        <v>1404276892</v>
      </c>
      <c r="F9653">
        <v>-1064.04</v>
      </c>
    </row>
    <row r="9654" spans="1:6" hidden="1" x14ac:dyDescent="0.25">
      <c r="A9654" t="s">
        <v>694</v>
      </c>
      <c r="B9654" t="s">
        <v>290</v>
      </c>
      <c r="E9654" s="3">
        <f>HYPERLINK("https://sao.dolgi.msk.ru/account/1404277756/", 1404277756)</f>
        <v>1404277756</v>
      </c>
      <c r="F9654">
        <v>0</v>
      </c>
    </row>
    <row r="9655" spans="1:6" hidden="1" x14ac:dyDescent="0.25">
      <c r="A9655" t="s">
        <v>694</v>
      </c>
      <c r="B9655" t="s">
        <v>291</v>
      </c>
      <c r="E9655" s="3">
        <f>HYPERLINK("https://sao.dolgi.msk.ru/account/1404277705/", 1404277705)</f>
        <v>1404277705</v>
      </c>
      <c r="F9655">
        <v>0</v>
      </c>
    </row>
    <row r="9656" spans="1:6" hidden="1" x14ac:dyDescent="0.25">
      <c r="A9656" t="s">
        <v>694</v>
      </c>
      <c r="B9656" t="s">
        <v>291</v>
      </c>
      <c r="E9656" s="3">
        <f>HYPERLINK("https://sao.dolgi.msk.ru/account/1404277764/", 1404277764)</f>
        <v>1404277764</v>
      </c>
      <c r="F9656">
        <v>0</v>
      </c>
    </row>
    <row r="9657" spans="1:6" hidden="1" x14ac:dyDescent="0.25">
      <c r="A9657" t="s">
        <v>694</v>
      </c>
      <c r="B9657" t="s">
        <v>292</v>
      </c>
      <c r="E9657" s="3">
        <f>HYPERLINK("https://sao.dolgi.msk.ru/account/1404278476/", 1404278476)</f>
        <v>1404278476</v>
      </c>
      <c r="F9657">
        <v>-727.98</v>
      </c>
    </row>
    <row r="9658" spans="1:6" hidden="1" x14ac:dyDescent="0.25">
      <c r="A9658" t="s">
        <v>694</v>
      </c>
      <c r="B9658" t="s">
        <v>293</v>
      </c>
      <c r="E9658" s="3">
        <f>HYPERLINK("https://sao.dolgi.msk.ru/account/1404274598/", 1404274598)</f>
        <v>1404274598</v>
      </c>
      <c r="F9658">
        <v>-1151.8499999999999</v>
      </c>
    </row>
    <row r="9659" spans="1:6" hidden="1" x14ac:dyDescent="0.25">
      <c r="A9659" t="s">
        <v>694</v>
      </c>
      <c r="B9659" t="s">
        <v>294</v>
      </c>
      <c r="E9659" s="3">
        <f>HYPERLINK("https://sao.dolgi.msk.ru/account/1404277772/", 1404277772)</f>
        <v>1404277772</v>
      </c>
      <c r="F9659">
        <v>-2276.9899999999998</v>
      </c>
    </row>
    <row r="9660" spans="1:6" x14ac:dyDescent="0.25">
      <c r="A9660" t="s">
        <v>694</v>
      </c>
      <c r="B9660" t="s">
        <v>295</v>
      </c>
      <c r="C9660" s="5" t="str">
        <f>" кв. "&amp;B9660</f>
        <v xml:space="preserve"> кв. 288</v>
      </c>
      <c r="D9660" s="5" t="str">
        <f>CONCATENATE(A9660,C9660)</f>
        <v>Прибрежный пр., дом 7 кв. 288</v>
      </c>
      <c r="E9660" s="3">
        <f>HYPERLINK("https://sao.dolgi.msk.ru/account/1404275574/", 1404275574)</f>
        <v>1404275574</v>
      </c>
      <c r="F9660">
        <v>1274.6500000000001</v>
      </c>
    </row>
    <row r="9661" spans="1:6" hidden="1" x14ac:dyDescent="0.25">
      <c r="A9661" t="s">
        <v>694</v>
      </c>
      <c r="B9661" t="s">
        <v>695</v>
      </c>
      <c r="E9661" s="3">
        <f>HYPERLINK("https://sao.dolgi.msk.ru/account/1404277633/", 1404277633)</f>
        <v>1404277633</v>
      </c>
      <c r="F9661">
        <v>-1302.57</v>
      </c>
    </row>
    <row r="9662" spans="1:6" hidden="1" x14ac:dyDescent="0.25">
      <c r="A9662" t="s">
        <v>694</v>
      </c>
      <c r="B9662" t="s">
        <v>296</v>
      </c>
      <c r="E9662" s="3">
        <f>HYPERLINK("https://sao.dolgi.msk.ru/account/1404273392/", 1404273392)</f>
        <v>1404273392</v>
      </c>
      <c r="F9662">
        <v>-640.54</v>
      </c>
    </row>
    <row r="9663" spans="1:6" hidden="1" x14ac:dyDescent="0.25">
      <c r="A9663" t="s">
        <v>694</v>
      </c>
      <c r="B9663" t="s">
        <v>297</v>
      </c>
      <c r="E9663" s="3">
        <f>HYPERLINK("https://sao.dolgi.msk.ru/account/1404274256/", 1404274256)</f>
        <v>1404274256</v>
      </c>
      <c r="F9663">
        <v>-2555.84</v>
      </c>
    </row>
    <row r="9664" spans="1:6" hidden="1" x14ac:dyDescent="0.25">
      <c r="A9664" t="s">
        <v>694</v>
      </c>
      <c r="B9664" t="s">
        <v>298</v>
      </c>
      <c r="E9664" s="3">
        <f>HYPERLINK("https://sao.dolgi.msk.ru/account/1404278724/", 1404278724)</f>
        <v>1404278724</v>
      </c>
      <c r="F9664">
        <v>0</v>
      </c>
    </row>
    <row r="9665" spans="1:6" hidden="1" x14ac:dyDescent="0.25">
      <c r="A9665" t="s">
        <v>694</v>
      </c>
      <c r="B9665" t="s">
        <v>299</v>
      </c>
      <c r="E9665" s="3">
        <f>HYPERLINK("https://sao.dolgi.msk.ru/account/1404273288/", 1404273288)</f>
        <v>1404273288</v>
      </c>
      <c r="F9665">
        <v>0</v>
      </c>
    </row>
    <row r="9666" spans="1:6" hidden="1" x14ac:dyDescent="0.25">
      <c r="A9666" t="s">
        <v>694</v>
      </c>
      <c r="B9666" t="s">
        <v>300</v>
      </c>
      <c r="E9666" s="3">
        <f>HYPERLINK("https://sao.dolgi.msk.ru/account/1404276382/", 1404276382)</f>
        <v>1404276382</v>
      </c>
      <c r="F9666">
        <v>-2038.32</v>
      </c>
    </row>
    <row r="9667" spans="1:6" hidden="1" x14ac:dyDescent="0.25">
      <c r="A9667" t="s">
        <v>694</v>
      </c>
      <c r="B9667" t="s">
        <v>301</v>
      </c>
      <c r="E9667" s="3">
        <f>HYPERLINK("https://sao.dolgi.msk.ru/account/1404275582/", 1404275582)</f>
        <v>1404275582</v>
      </c>
      <c r="F9667">
        <v>-666.8</v>
      </c>
    </row>
    <row r="9668" spans="1:6" hidden="1" x14ac:dyDescent="0.25">
      <c r="A9668" t="s">
        <v>694</v>
      </c>
      <c r="B9668" t="s">
        <v>302</v>
      </c>
      <c r="E9668" s="3">
        <f>HYPERLINK("https://sao.dolgi.msk.ru/account/1404273405/", 1404273405)</f>
        <v>1404273405</v>
      </c>
      <c r="F9668">
        <v>0</v>
      </c>
    </row>
    <row r="9669" spans="1:6" hidden="1" x14ac:dyDescent="0.25">
      <c r="A9669" t="s">
        <v>694</v>
      </c>
      <c r="B9669" t="s">
        <v>303</v>
      </c>
      <c r="E9669" s="3">
        <f>HYPERLINK("https://sao.dolgi.msk.ru/account/1404275339/", 1404275339)</f>
        <v>1404275339</v>
      </c>
      <c r="F9669">
        <v>0</v>
      </c>
    </row>
    <row r="9670" spans="1:6" hidden="1" x14ac:dyDescent="0.25">
      <c r="A9670" t="s">
        <v>694</v>
      </c>
      <c r="B9670" t="s">
        <v>304</v>
      </c>
      <c r="E9670" s="3">
        <f>HYPERLINK("https://sao.dolgi.msk.ru/account/1404276091/", 1404276091)</f>
        <v>1404276091</v>
      </c>
      <c r="F9670">
        <v>-1712.7</v>
      </c>
    </row>
    <row r="9671" spans="1:6" x14ac:dyDescent="0.25">
      <c r="A9671" t="s">
        <v>694</v>
      </c>
      <c r="B9671" t="s">
        <v>305</v>
      </c>
      <c r="C9671" s="5" t="str">
        <f t="shared" ref="C9671:C9672" si="427">" кв. "&amp;B9671</f>
        <v xml:space="preserve"> кв. 298</v>
      </c>
      <c r="D9671" s="5" t="str">
        <f>CONCATENATE(A9671,C9671)</f>
        <v>Прибрежный пр., дом 7 кв. 298</v>
      </c>
      <c r="E9671" s="3">
        <f>HYPERLINK("https://sao.dolgi.msk.ru/account/1404273966/", 1404273966)</f>
        <v>1404273966</v>
      </c>
      <c r="F9671">
        <v>1299.99</v>
      </c>
    </row>
    <row r="9672" spans="1:6" x14ac:dyDescent="0.25">
      <c r="A9672" t="s">
        <v>694</v>
      </c>
      <c r="B9672" t="s">
        <v>306</v>
      </c>
      <c r="C9672" s="5" t="str">
        <f t="shared" si="427"/>
        <v xml:space="preserve"> кв. 299</v>
      </c>
      <c r="D9672" s="5" t="str">
        <f>CONCATENATE(A9672,C9672)</f>
        <v>Прибрежный пр., дом 7 кв. 299</v>
      </c>
      <c r="E9672" s="3">
        <f>HYPERLINK("https://sao.dolgi.msk.ru/account/1404279241/", 1404279241)</f>
        <v>1404279241</v>
      </c>
      <c r="F9672">
        <v>1995.85</v>
      </c>
    </row>
    <row r="9673" spans="1:6" hidden="1" x14ac:dyDescent="0.25">
      <c r="A9673" t="s">
        <v>694</v>
      </c>
      <c r="B9673" t="s">
        <v>307</v>
      </c>
      <c r="E9673" s="3">
        <f>HYPERLINK("https://sao.dolgi.msk.ru/account/1404279276/", 1404279276)</f>
        <v>1404279276</v>
      </c>
      <c r="F9673">
        <v>-1465.19</v>
      </c>
    </row>
    <row r="9674" spans="1:6" x14ac:dyDescent="0.25">
      <c r="A9674" t="s">
        <v>694</v>
      </c>
      <c r="B9674" t="s">
        <v>308</v>
      </c>
      <c r="C9674" s="5" t="str">
        <f>" кв. "&amp;B9674</f>
        <v xml:space="preserve"> кв. 301</v>
      </c>
      <c r="D9674" s="5" t="str">
        <f>CONCATENATE(A9674,C9674)</f>
        <v>Прибрежный пр., дом 7 кв. 301</v>
      </c>
      <c r="E9674" s="3">
        <f>HYPERLINK("https://sao.dolgi.msk.ru/account/1404276905/", 1404276905)</f>
        <v>1404276905</v>
      </c>
      <c r="F9674">
        <v>1401.21</v>
      </c>
    </row>
    <row r="9675" spans="1:6" hidden="1" x14ac:dyDescent="0.25">
      <c r="A9675" t="s">
        <v>694</v>
      </c>
      <c r="B9675" t="s">
        <v>309</v>
      </c>
      <c r="E9675" s="3">
        <f>HYPERLINK("https://sao.dolgi.msk.ru/account/1404277801/", 1404277801)</f>
        <v>1404277801</v>
      </c>
      <c r="F9675">
        <v>-2417.2600000000002</v>
      </c>
    </row>
    <row r="9676" spans="1:6" x14ac:dyDescent="0.25">
      <c r="A9676" t="s">
        <v>694</v>
      </c>
      <c r="B9676" t="s">
        <v>310</v>
      </c>
      <c r="C9676" s="5" t="str">
        <f>" кв. "&amp;B9676</f>
        <v xml:space="preserve"> кв. 303</v>
      </c>
      <c r="D9676" s="5" t="str">
        <f>CONCATENATE(A9676,C9676)</f>
        <v>Прибрежный пр., дом 7 кв. 303</v>
      </c>
      <c r="E9676" s="3">
        <f>HYPERLINK("https://sao.dolgi.msk.ru/account/1404276104/", 1404276104)</f>
        <v>1404276104</v>
      </c>
      <c r="F9676">
        <v>1331.62</v>
      </c>
    </row>
    <row r="9677" spans="1:6" hidden="1" x14ac:dyDescent="0.25">
      <c r="A9677" t="s">
        <v>694</v>
      </c>
      <c r="B9677" t="s">
        <v>311</v>
      </c>
      <c r="E9677" s="3">
        <f>HYPERLINK("https://sao.dolgi.msk.ru/account/1404276913/", 1404276913)</f>
        <v>1404276913</v>
      </c>
      <c r="F9677">
        <v>-1460.57</v>
      </c>
    </row>
    <row r="9678" spans="1:6" x14ac:dyDescent="0.25">
      <c r="A9678" t="s">
        <v>694</v>
      </c>
      <c r="B9678" t="s">
        <v>312</v>
      </c>
      <c r="C9678" s="5" t="str">
        <f>" кв. "&amp;B9678</f>
        <v xml:space="preserve"> кв. 305</v>
      </c>
      <c r="D9678" s="5" t="str">
        <f>CONCATENATE(A9678,C9678)</f>
        <v>Прибрежный пр., дом 7 кв. 305</v>
      </c>
      <c r="E9678" s="3">
        <f>HYPERLINK("https://sao.dolgi.msk.ru/account/1404276112/", 1404276112)</f>
        <v>1404276112</v>
      </c>
      <c r="F9678">
        <v>882.47</v>
      </c>
    </row>
    <row r="9679" spans="1:6" hidden="1" x14ac:dyDescent="0.25">
      <c r="A9679" t="s">
        <v>694</v>
      </c>
      <c r="B9679" t="s">
        <v>313</v>
      </c>
      <c r="E9679" s="3">
        <f>HYPERLINK("https://sao.dolgi.msk.ru/account/1404276921/", 1404276921)</f>
        <v>1404276921</v>
      </c>
      <c r="F9679">
        <v>0</v>
      </c>
    </row>
    <row r="9680" spans="1:6" x14ac:dyDescent="0.25">
      <c r="A9680" t="s">
        <v>694</v>
      </c>
      <c r="B9680" t="s">
        <v>314</v>
      </c>
      <c r="C9680" s="5" t="str">
        <f>" кв. "&amp;B9680</f>
        <v xml:space="preserve"> кв. 307</v>
      </c>
      <c r="D9680" s="5" t="str">
        <f>CONCATENATE(A9680,C9680)</f>
        <v>Прибрежный пр., дом 7 кв. 307</v>
      </c>
      <c r="E9680" s="3">
        <f>HYPERLINK("https://sao.dolgi.msk.ru/account/1404276948/", 1404276948)</f>
        <v>1404276948</v>
      </c>
      <c r="F9680">
        <v>1995.85</v>
      </c>
    </row>
    <row r="9681" spans="1:6" hidden="1" x14ac:dyDescent="0.25">
      <c r="A9681" t="s">
        <v>694</v>
      </c>
      <c r="B9681" t="s">
        <v>315</v>
      </c>
      <c r="E9681" s="3">
        <f>HYPERLINK("https://sao.dolgi.msk.ru/account/1404278492/", 1404278492)</f>
        <v>1404278492</v>
      </c>
      <c r="F9681">
        <v>0</v>
      </c>
    </row>
    <row r="9682" spans="1:6" hidden="1" x14ac:dyDescent="0.25">
      <c r="A9682" t="s">
        <v>694</v>
      </c>
      <c r="B9682" t="s">
        <v>316</v>
      </c>
      <c r="E9682" s="3">
        <f>HYPERLINK("https://sao.dolgi.msk.ru/account/1404273974/", 1404273974)</f>
        <v>1404273974</v>
      </c>
      <c r="F9682">
        <v>0</v>
      </c>
    </row>
    <row r="9683" spans="1:6" hidden="1" x14ac:dyDescent="0.25">
      <c r="A9683" t="s">
        <v>694</v>
      </c>
      <c r="B9683" t="s">
        <v>317</v>
      </c>
      <c r="E9683" s="3">
        <f>HYPERLINK("https://sao.dolgi.msk.ru/account/1404279284/", 1404279284)</f>
        <v>1404279284</v>
      </c>
      <c r="F9683">
        <v>0</v>
      </c>
    </row>
    <row r="9684" spans="1:6" hidden="1" x14ac:dyDescent="0.25">
      <c r="A9684" t="s">
        <v>694</v>
      </c>
      <c r="B9684" t="s">
        <v>318</v>
      </c>
      <c r="E9684" s="3">
        <f>HYPERLINK("https://sao.dolgi.msk.ru/account/1404278505/", 1404278505)</f>
        <v>1404278505</v>
      </c>
      <c r="F9684">
        <v>0</v>
      </c>
    </row>
    <row r="9685" spans="1:6" x14ac:dyDescent="0.25">
      <c r="A9685" t="s">
        <v>694</v>
      </c>
      <c r="B9685" t="s">
        <v>319</v>
      </c>
      <c r="C9685" s="5" t="str">
        <f>" кв. "&amp;B9685</f>
        <v xml:space="preserve"> кв. 312</v>
      </c>
      <c r="D9685" s="5" t="str">
        <f>CONCATENATE(A9685,C9685)</f>
        <v>Прибрежный пр., дом 7 кв. 312</v>
      </c>
      <c r="E9685" s="3">
        <f>HYPERLINK("https://sao.dolgi.msk.ru/account/1404274619/", 1404274619)</f>
        <v>1404274619</v>
      </c>
      <c r="F9685">
        <v>1005.83</v>
      </c>
    </row>
    <row r="9686" spans="1:6" hidden="1" x14ac:dyDescent="0.25">
      <c r="A9686" t="s">
        <v>694</v>
      </c>
      <c r="B9686" t="s">
        <v>422</v>
      </c>
      <c r="E9686" s="3">
        <f>HYPERLINK("https://sao.dolgi.msk.ru/account/1404276956/", 1404276956)</f>
        <v>1404276956</v>
      </c>
      <c r="F9686">
        <v>-2047.57</v>
      </c>
    </row>
    <row r="9687" spans="1:6" hidden="1" x14ac:dyDescent="0.25">
      <c r="A9687" t="s">
        <v>694</v>
      </c>
      <c r="B9687" t="s">
        <v>423</v>
      </c>
      <c r="E9687" s="3">
        <f>HYPERLINK("https://sao.dolgi.msk.ru/account/1404278513/", 1404278513)</f>
        <v>1404278513</v>
      </c>
      <c r="F9687">
        <v>0</v>
      </c>
    </row>
    <row r="9688" spans="1:6" hidden="1" x14ac:dyDescent="0.25">
      <c r="A9688" t="s">
        <v>694</v>
      </c>
      <c r="B9688" t="s">
        <v>424</v>
      </c>
      <c r="E9688" s="3">
        <f>HYPERLINK("https://sao.dolgi.msk.ru/account/1404277828/", 1404277828)</f>
        <v>1404277828</v>
      </c>
      <c r="F9688">
        <v>-2567.21</v>
      </c>
    </row>
    <row r="9689" spans="1:6" x14ac:dyDescent="0.25">
      <c r="A9689" t="s">
        <v>694</v>
      </c>
      <c r="B9689" t="s">
        <v>425</v>
      </c>
      <c r="C9689" s="5" t="str">
        <f t="shared" ref="C9689:C9690" si="428">" кв. "&amp;B9689</f>
        <v xml:space="preserve"> кв. 316</v>
      </c>
      <c r="D9689" s="5" t="str">
        <f>CONCATENATE(A9689,C9689)</f>
        <v>Прибрежный пр., дом 7 кв. 316</v>
      </c>
      <c r="E9689" s="3">
        <f>HYPERLINK("https://sao.dolgi.msk.ru/account/1404276964/", 1404276964)</f>
        <v>1404276964</v>
      </c>
      <c r="F9689">
        <v>996.35</v>
      </c>
    </row>
    <row r="9690" spans="1:6" x14ac:dyDescent="0.25">
      <c r="A9690" t="s">
        <v>694</v>
      </c>
      <c r="B9690" t="s">
        <v>426</v>
      </c>
      <c r="C9690" s="5" t="str">
        <f t="shared" si="428"/>
        <v xml:space="preserve"> кв. 317</v>
      </c>
      <c r="D9690" s="5" t="str">
        <f>CONCATENATE(A9690,C9690)</f>
        <v>Прибрежный пр., дом 7 кв. 317</v>
      </c>
      <c r="E9690" s="3">
        <f>HYPERLINK("https://sao.dolgi.msk.ru/account/1404275347/", 1404275347)</f>
        <v>1404275347</v>
      </c>
      <c r="F9690">
        <v>1401.21</v>
      </c>
    </row>
    <row r="9691" spans="1:6" hidden="1" x14ac:dyDescent="0.25">
      <c r="A9691" t="s">
        <v>694</v>
      </c>
      <c r="B9691" t="s">
        <v>427</v>
      </c>
      <c r="E9691" s="3">
        <f>HYPERLINK("https://sao.dolgi.msk.ru/account/1404276972/", 1404276972)</f>
        <v>1404276972</v>
      </c>
      <c r="F9691">
        <v>-2874.93</v>
      </c>
    </row>
    <row r="9692" spans="1:6" hidden="1" x14ac:dyDescent="0.25">
      <c r="A9692" t="s">
        <v>694</v>
      </c>
      <c r="B9692" t="s">
        <v>428</v>
      </c>
      <c r="E9692" s="3">
        <f>HYPERLINK("https://sao.dolgi.msk.ru/account/1404273341/", 1404273341)</f>
        <v>1404273341</v>
      </c>
      <c r="F9692">
        <v>-2907.29</v>
      </c>
    </row>
    <row r="9693" spans="1:6" hidden="1" x14ac:dyDescent="0.25">
      <c r="A9693" t="s">
        <v>694</v>
      </c>
      <c r="B9693" t="s">
        <v>321</v>
      </c>
      <c r="E9693" s="3">
        <f>HYPERLINK("https://sao.dolgi.msk.ru/account/1404274782/", 1404274782)</f>
        <v>1404274782</v>
      </c>
      <c r="F9693">
        <v>-1455.95</v>
      </c>
    </row>
    <row r="9694" spans="1:6" hidden="1" x14ac:dyDescent="0.25">
      <c r="A9694" t="s">
        <v>694</v>
      </c>
      <c r="B9694" t="s">
        <v>322</v>
      </c>
      <c r="E9694" s="3">
        <f>HYPERLINK("https://sao.dolgi.msk.ru/account/1404274192/", 1404274192)</f>
        <v>1404274192</v>
      </c>
      <c r="F9694">
        <v>0</v>
      </c>
    </row>
    <row r="9695" spans="1:6" hidden="1" x14ac:dyDescent="0.25">
      <c r="A9695" t="s">
        <v>694</v>
      </c>
      <c r="B9695" t="s">
        <v>323</v>
      </c>
      <c r="E9695" s="3">
        <f>HYPERLINK("https://sao.dolgi.msk.ru/account/1404274205/", 1404274205)</f>
        <v>1404274205</v>
      </c>
      <c r="F9695">
        <v>0</v>
      </c>
    </row>
    <row r="9696" spans="1:6" x14ac:dyDescent="0.25">
      <c r="A9696" t="s">
        <v>694</v>
      </c>
      <c r="B9696" t="s">
        <v>324</v>
      </c>
      <c r="C9696" s="5" t="str">
        <f t="shared" ref="C9696:C9697" si="429">" кв. "&amp;B9696</f>
        <v xml:space="preserve"> кв. 323</v>
      </c>
      <c r="D9696" s="5" t="str">
        <f>CONCATENATE(A9696,C9696)</f>
        <v>Прибрежный пр., дом 7 кв. 323</v>
      </c>
      <c r="E9696" s="3">
        <f>HYPERLINK("https://sao.dolgi.msk.ru/account/1404276331/", 1404276331)</f>
        <v>1404276331</v>
      </c>
      <c r="F9696">
        <v>1992.69</v>
      </c>
    </row>
    <row r="9697" spans="1:6" x14ac:dyDescent="0.25">
      <c r="A9697" t="s">
        <v>694</v>
      </c>
      <c r="B9697" t="s">
        <v>325</v>
      </c>
      <c r="C9697" s="5" t="str">
        <f t="shared" si="429"/>
        <v xml:space="preserve"> кв. 324</v>
      </c>
      <c r="D9697" s="5" t="str">
        <f>CONCATENATE(A9697,C9697)</f>
        <v>Прибрежный пр., дом 7 кв. 324</v>
      </c>
      <c r="E9697" s="3">
        <f>HYPERLINK("https://sao.dolgi.msk.ru/account/1404275531/", 1404275531)</f>
        <v>1404275531</v>
      </c>
      <c r="F9697">
        <v>1002.67</v>
      </c>
    </row>
    <row r="9698" spans="1:6" hidden="1" x14ac:dyDescent="0.25">
      <c r="A9698" t="s">
        <v>694</v>
      </c>
      <c r="B9698" t="s">
        <v>326</v>
      </c>
      <c r="E9698" s="3">
        <f>HYPERLINK("https://sao.dolgi.msk.ru/account/1404274803/", 1404274803)</f>
        <v>1404274803</v>
      </c>
      <c r="F9698">
        <v>-2047.57</v>
      </c>
    </row>
    <row r="9699" spans="1:6" hidden="1" x14ac:dyDescent="0.25">
      <c r="A9699" t="s">
        <v>694</v>
      </c>
      <c r="B9699" t="s">
        <v>327</v>
      </c>
      <c r="E9699" s="3">
        <f>HYPERLINK("https://sao.dolgi.msk.ru/account/1404275558/", 1404275558)</f>
        <v>1404275558</v>
      </c>
      <c r="F9699">
        <v>0</v>
      </c>
    </row>
    <row r="9700" spans="1:6" hidden="1" x14ac:dyDescent="0.25">
      <c r="A9700" t="s">
        <v>694</v>
      </c>
      <c r="B9700" t="s">
        <v>328</v>
      </c>
      <c r="E9700" s="3">
        <f>HYPERLINK("https://sao.dolgi.msk.ru/account/1404277166/", 1404277166)</f>
        <v>1404277166</v>
      </c>
      <c r="F9700">
        <v>-2916.53</v>
      </c>
    </row>
    <row r="9701" spans="1:6" hidden="1" x14ac:dyDescent="0.25">
      <c r="A9701" t="s">
        <v>694</v>
      </c>
      <c r="B9701" t="s">
        <v>329</v>
      </c>
      <c r="E9701" s="3">
        <f>HYPERLINK("https://sao.dolgi.msk.ru/account/1404274344/", 1404274344)</f>
        <v>1404274344</v>
      </c>
      <c r="F9701">
        <v>-1446.7</v>
      </c>
    </row>
    <row r="9702" spans="1:6" hidden="1" x14ac:dyDescent="0.25">
      <c r="A9702" t="s">
        <v>694</v>
      </c>
      <c r="B9702" t="s">
        <v>330</v>
      </c>
      <c r="E9702" s="3">
        <f>HYPERLINK("https://sao.dolgi.msk.ru/account/1404276577/", 1404276577)</f>
        <v>1404276577</v>
      </c>
      <c r="F9702">
        <v>-2052.19</v>
      </c>
    </row>
    <row r="9703" spans="1:6" hidden="1" x14ac:dyDescent="0.25">
      <c r="A9703" t="s">
        <v>694</v>
      </c>
      <c r="B9703" t="s">
        <v>331</v>
      </c>
      <c r="E9703" s="3">
        <f>HYPERLINK("https://sao.dolgi.msk.ru/account/1404273544/", 1404273544)</f>
        <v>1404273544</v>
      </c>
      <c r="F9703">
        <v>-2056.83</v>
      </c>
    </row>
    <row r="9704" spans="1:6" x14ac:dyDescent="0.25">
      <c r="A9704" t="s">
        <v>694</v>
      </c>
      <c r="B9704" t="s">
        <v>332</v>
      </c>
      <c r="C9704" s="5" t="str">
        <f>" кв. "&amp;B9704</f>
        <v xml:space="preserve"> кв. 331</v>
      </c>
      <c r="D9704" s="5" t="str">
        <f>CONCATENATE(A9704,C9704)</f>
        <v>Прибрежный пр., дом 7 кв. 331</v>
      </c>
      <c r="E9704" s="3">
        <f>HYPERLINK("https://sao.dolgi.msk.ru/account/1404274539/", 1404274539)</f>
        <v>1404274539</v>
      </c>
      <c r="F9704">
        <v>1995.85</v>
      </c>
    </row>
    <row r="9705" spans="1:6" hidden="1" x14ac:dyDescent="0.25">
      <c r="A9705" t="s">
        <v>694</v>
      </c>
      <c r="B9705" t="s">
        <v>333</v>
      </c>
      <c r="E9705" s="3">
        <f>HYPERLINK("https://sao.dolgi.msk.ru/account/1404275267/", 1404275267)</f>
        <v>1404275267</v>
      </c>
      <c r="F9705">
        <v>-727.98</v>
      </c>
    </row>
    <row r="9706" spans="1:6" x14ac:dyDescent="0.25">
      <c r="A9706" t="s">
        <v>694</v>
      </c>
      <c r="B9706" t="s">
        <v>334</v>
      </c>
      <c r="C9706" s="5" t="str">
        <f t="shared" ref="C9706:C9707" si="430">" кв. "&amp;B9706</f>
        <v xml:space="preserve"> кв. 333</v>
      </c>
      <c r="D9706" s="5" t="str">
        <f>CONCATENATE(A9706,C9706)</f>
        <v>Прибрежный пр., дом 7 кв. 333</v>
      </c>
      <c r="E9706" s="3">
        <f>HYPERLINK("https://sao.dolgi.msk.ru/account/1404275275/", 1404275275)</f>
        <v>1404275275</v>
      </c>
      <c r="F9706">
        <v>1410.7</v>
      </c>
    </row>
    <row r="9707" spans="1:6" x14ac:dyDescent="0.25">
      <c r="A9707" t="s">
        <v>694</v>
      </c>
      <c r="B9707" t="s">
        <v>335</v>
      </c>
      <c r="C9707" s="5" t="str">
        <f t="shared" si="430"/>
        <v xml:space="preserve"> кв. 334</v>
      </c>
      <c r="D9707" s="5" t="str">
        <f>CONCATENATE(A9707,C9707)</f>
        <v>Прибрежный пр., дом 7 кв. 334</v>
      </c>
      <c r="E9707" s="3">
        <f>HYPERLINK("https://sao.dolgi.msk.ru/account/1404276067/", 1404276067)</f>
        <v>1404276067</v>
      </c>
      <c r="F9707">
        <v>1316.73</v>
      </c>
    </row>
    <row r="9708" spans="1:6" hidden="1" x14ac:dyDescent="0.25">
      <c r="A9708" t="s">
        <v>694</v>
      </c>
      <c r="B9708" t="s">
        <v>336</v>
      </c>
      <c r="E9708" s="3">
        <f>HYPERLINK("https://sao.dolgi.msk.ru/account/1404273878/", 1404273878)</f>
        <v>1404273878</v>
      </c>
      <c r="F9708">
        <v>-1323.12</v>
      </c>
    </row>
    <row r="9709" spans="1:6" hidden="1" x14ac:dyDescent="0.25">
      <c r="A9709" t="s">
        <v>694</v>
      </c>
      <c r="B9709" t="s">
        <v>337</v>
      </c>
      <c r="E9709" s="3">
        <f>HYPERLINK("https://sao.dolgi.msk.ru/account/1404274547/", 1404274547)</f>
        <v>1404274547</v>
      </c>
      <c r="F9709">
        <v>-1807.98</v>
      </c>
    </row>
    <row r="9710" spans="1:6" hidden="1" x14ac:dyDescent="0.25">
      <c r="A9710" t="s">
        <v>694</v>
      </c>
      <c r="B9710" t="s">
        <v>338</v>
      </c>
      <c r="E9710" s="3">
        <f>HYPERLINK("https://sao.dolgi.msk.ru/account/1404273886/", 1404273886)</f>
        <v>1404273886</v>
      </c>
      <c r="F9710">
        <v>-2347.98</v>
      </c>
    </row>
    <row r="9711" spans="1:6" x14ac:dyDescent="0.25">
      <c r="A9711" t="s">
        <v>694</v>
      </c>
      <c r="B9711" t="s">
        <v>339</v>
      </c>
      <c r="C9711" s="5" t="str">
        <f>" кв. "&amp;B9711</f>
        <v xml:space="preserve"> кв. 338</v>
      </c>
      <c r="D9711" s="5" t="str">
        <f>CONCATENATE(A9711,C9711)</f>
        <v>Прибрежный пр., дом 7 кв. 338</v>
      </c>
      <c r="E9711" s="3">
        <f>HYPERLINK("https://sao.dolgi.msk.ru/account/1404274555/", 1404274555)</f>
        <v>1404274555</v>
      </c>
      <c r="F9711">
        <v>656.85</v>
      </c>
    </row>
    <row r="9712" spans="1:6" hidden="1" x14ac:dyDescent="0.25">
      <c r="A9712" t="s">
        <v>694</v>
      </c>
      <c r="B9712" t="s">
        <v>339</v>
      </c>
      <c r="E9712" s="3">
        <f>HYPERLINK("https://sao.dolgi.msk.ru/account/1404276075/", 1404276075)</f>
        <v>1404276075</v>
      </c>
      <c r="F9712">
        <v>-959.85</v>
      </c>
    </row>
    <row r="9713" spans="1:6" x14ac:dyDescent="0.25">
      <c r="A9713" t="s">
        <v>694</v>
      </c>
      <c r="B9713" t="s">
        <v>339</v>
      </c>
      <c r="C9713" s="5" t="str">
        <f>" кв. "&amp;B9713</f>
        <v xml:space="preserve"> кв. 338</v>
      </c>
      <c r="D9713" s="5" t="str">
        <f>CONCATENATE(A9713,C9713)</f>
        <v>Прибрежный пр., дом 7 кв. 338</v>
      </c>
      <c r="E9713" s="3">
        <f>HYPERLINK("https://sao.dolgi.msk.ru/account/1404278441/", 1404278441)</f>
        <v>1404278441</v>
      </c>
      <c r="F9713">
        <v>656.85</v>
      </c>
    </row>
    <row r="9714" spans="1:6" hidden="1" x14ac:dyDescent="0.25">
      <c r="A9714" t="s">
        <v>694</v>
      </c>
      <c r="B9714" t="s">
        <v>340</v>
      </c>
      <c r="E9714" s="3">
        <f>HYPERLINK("https://sao.dolgi.msk.ru/account/1404274563/", 1404274563)</f>
        <v>1404274563</v>
      </c>
      <c r="F9714">
        <v>-465.44</v>
      </c>
    </row>
    <row r="9715" spans="1:6" hidden="1" x14ac:dyDescent="0.25">
      <c r="A9715" t="s">
        <v>694</v>
      </c>
      <c r="B9715" t="s">
        <v>341</v>
      </c>
      <c r="E9715" s="3">
        <f>HYPERLINK("https://sao.dolgi.msk.ru/account/1404273894/", 1404273894)</f>
        <v>1404273894</v>
      </c>
      <c r="F9715">
        <v>0</v>
      </c>
    </row>
    <row r="9716" spans="1:6" hidden="1" x14ac:dyDescent="0.25">
      <c r="A9716" t="s">
        <v>694</v>
      </c>
      <c r="B9716" t="s">
        <v>342</v>
      </c>
      <c r="E9716" s="3">
        <f>HYPERLINK("https://sao.dolgi.msk.ru/account/1404273907/", 1404273907)</f>
        <v>1404273907</v>
      </c>
      <c r="F9716">
        <v>-2916.53</v>
      </c>
    </row>
    <row r="9717" spans="1:6" hidden="1" x14ac:dyDescent="0.25">
      <c r="A9717" t="s">
        <v>694</v>
      </c>
      <c r="B9717" t="s">
        <v>343</v>
      </c>
      <c r="E9717" s="3">
        <f>HYPERLINK("https://sao.dolgi.msk.ru/account/1404275283/", 1404275283)</f>
        <v>1404275283</v>
      </c>
      <c r="F9717">
        <v>-1965.33</v>
      </c>
    </row>
    <row r="9718" spans="1:6" x14ac:dyDescent="0.25">
      <c r="A9718" t="s">
        <v>694</v>
      </c>
      <c r="B9718" t="s">
        <v>344</v>
      </c>
      <c r="C9718" s="5" t="str">
        <f>" кв. "&amp;B9718</f>
        <v xml:space="preserve"> кв. 343</v>
      </c>
      <c r="D9718" s="5" t="str">
        <f>CONCATENATE(A9718,C9718)</f>
        <v>Прибрежный пр., дом 7 кв. 343</v>
      </c>
      <c r="E9718" s="3">
        <f>HYPERLINK("https://sao.dolgi.msk.ru/account/1404276825/", 1404276825)</f>
        <v>1404276825</v>
      </c>
      <c r="F9718">
        <v>1002.67</v>
      </c>
    </row>
    <row r="9719" spans="1:6" hidden="1" x14ac:dyDescent="0.25">
      <c r="A9719" t="s">
        <v>694</v>
      </c>
      <c r="B9719" t="s">
        <v>345</v>
      </c>
      <c r="E9719" s="3">
        <f>HYPERLINK("https://sao.dolgi.msk.ru/account/1404279188/", 1404279188)</f>
        <v>1404279188</v>
      </c>
      <c r="F9719">
        <v>-1142.5999999999999</v>
      </c>
    </row>
    <row r="9720" spans="1:6" hidden="1" x14ac:dyDescent="0.25">
      <c r="A9720" t="s">
        <v>694</v>
      </c>
      <c r="B9720" t="s">
        <v>346</v>
      </c>
      <c r="E9720" s="3">
        <f>HYPERLINK("https://sao.dolgi.msk.ru/account/1404274571/", 1404274571)</f>
        <v>1404274571</v>
      </c>
      <c r="F9720">
        <v>0</v>
      </c>
    </row>
    <row r="9721" spans="1:6" x14ac:dyDescent="0.25">
      <c r="A9721" t="s">
        <v>694</v>
      </c>
      <c r="B9721" t="s">
        <v>347</v>
      </c>
      <c r="C9721" s="5" t="str">
        <f>" кв. "&amp;B9721</f>
        <v xml:space="preserve"> кв. 346</v>
      </c>
      <c r="D9721" s="5" t="str">
        <f>CONCATENATE(A9721,C9721)</f>
        <v>Прибрежный пр., дом 7 кв. 346</v>
      </c>
      <c r="E9721" s="3">
        <f>HYPERLINK("https://sao.dolgi.msk.ru/account/1404275291/", 1404275291)</f>
        <v>1404275291</v>
      </c>
      <c r="F9721">
        <v>1630.3</v>
      </c>
    </row>
    <row r="9722" spans="1:6" hidden="1" x14ac:dyDescent="0.25">
      <c r="A9722" t="s">
        <v>694</v>
      </c>
      <c r="B9722" t="s">
        <v>348</v>
      </c>
      <c r="E9722" s="3">
        <f>HYPERLINK("https://sao.dolgi.msk.ru/account/1404278468/", 1404278468)</f>
        <v>1404278468</v>
      </c>
      <c r="F9722">
        <v>-1460.57</v>
      </c>
    </row>
    <row r="9723" spans="1:6" x14ac:dyDescent="0.25">
      <c r="A9723" t="s">
        <v>694</v>
      </c>
      <c r="B9723" t="s">
        <v>349</v>
      </c>
      <c r="C9723" s="5" t="str">
        <f>" кв. "&amp;B9723</f>
        <v xml:space="preserve"> кв. 348</v>
      </c>
      <c r="D9723" s="5" t="str">
        <f>CONCATENATE(A9723,C9723)</f>
        <v>Прибрежный пр., дом 7 кв. 348</v>
      </c>
      <c r="E9723" s="3">
        <f>HYPERLINK("https://sao.dolgi.msk.ru/account/1404277641/", 1404277641)</f>
        <v>1404277641</v>
      </c>
      <c r="F9723">
        <v>1401.21</v>
      </c>
    </row>
    <row r="9724" spans="1:6" hidden="1" x14ac:dyDescent="0.25">
      <c r="A9724" t="s">
        <v>694</v>
      </c>
      <c r="B9724" t="s">
        <v>350</v>
      </c>
      <c r="E9724" s="3">
        <f>HYPERLINK("https://sao.dolgi.msk.ru/account/1404279196/", 1404279196)</f>
        <v>1404279196</v>
      </c>
      <c r="F9724">
        <v>-2916.53</v>
      </c>
    </row>
    <row r="9725" spans="1:6" hidden="1" x14ac:dyDescent="0.25">
      <c r="A9725" t="s">
        <v>694</v>
      </c>
      <c r="B9725" t="s">
        <v>351</v>
      </c>
      <c r="E9725" s="3">
        <f>HYPERLINK("https://sao.dolgi.msk.ru/account/1404275304/", 1404275304)</f>
        <v>1404275304</v>
      </c>
      <c r="F9725">
        <v>-1516.18</v>
      </c>
    </row>
    <row r="9726" spans="1:6" hidden="1" x14ac:dyDescent="0.25">
      <c r="A9726" t="s">
        <v>694</v>
      </c>
      <c r="B9726" t="s">
        <v>352</v>
      </c>
      <c r="E9726" s="3">
        <f>HYPERLINK("https://sao.dolgi.msk.ru/account/1404276833/", 1404276833)</f>
        <v>1404276833</v>
      </c>
      <c r="F9726">
        <v>0</v>
      </c>
    </row>
    <row r="9727" spans="1:6" hidden="1" x14ac:dyDescent="0.25">
      <c r="A9727" t="s">
        <v>694</v>
      </c>
      <c r="B9727" t="s">
        <v>353</v>
      </c>
      <c r="E9727" s="3">
        <f>HYPERLINK("https://sao.dolgi.msk.ru/account/1404277668/", 1404277668)</f>
        <v>1404277668</v>
      </c>
      <c r="F9727">
        <v>-2047.57</v>
      </c>
    </row>
    <row r="9728" spans="1:6" hidden="1" x14ac:dyDescent="0.25">
      <c r="A9728" t="s">
        <v>694</v>
      </c>
      <c r="B9728" t="s">
        <v>354</v>
      </c>
      <c r="E9728" s="3">
        <f>HYPERLINK("https://sao.dolgi.msk.ru/account/1404277676/", 1404277676)</f>
        <v>1404277676</v>
      </c>
      <c r="F9728">
        <v>-606.32000000000005</v>
      </c>
    </row>
    <row r="9729" spans="1:6" hidden="1" x14ac:dyDescent="0.25">
      <c r="A9729" t="s">
        <v>694</v>
      </c>
      <c r="B9729" t="s">
        <v>355</v>
      </c>
      <c r="E9729" s="3">
        <f>HYPERLINK("https://sao.dolgi.msk.ru/account/1404273915/", 1404273915)</f>
        <v>1404273915</v>
      </c>
      <c r="F9729">
        <v>-2870.3</v>
      </c>
    </row>
    <row r="9730" spans="1:6" hidden="1" x14ac:dyDescent="0.25">
      <c r="A9730" t="s">
        <v>694</v>
      </c>
      <c r="B9730" t="s">
        <v>356</v>
      </c>
      <c r="E9730" s="3">
        <f>HYPERLINK("https://sao.dolgi.msk.ru/account/1404276083/", 1404276083)</f>
        <v>1404276083</v>
      </c>
      <c r="F9730">
        <v>-1460.57</v>
      </c>
    </row>
    <row r="9731" spans="1:6" hidden="1" x14ac:dyDescent="0.25">
      <c r="A9731" t="s">
        <v>694</v>
      </c>
      <c r="B9731" t="s">
        <v>357</v>
      </c>
      <c r="E9731" s="3">
        <f>HYPERLINK("https://sao.dolgi.msk.ru/account/1404276841/", 1404276841)</f>
        <v>1404276841</v>
      </c>
      <c r="F9731">
        <v>-2047.57</v>
      </c>
    </row>
    <row r="9732" spans="1:6" hidden="1" x14ac:dyDescent="0.25">
      <c r="A9732" t="s">
        <v>694</v>
      </c>
      <c r="B9732" t="s">
        <v>358</v>
      </c>
      <c r="E9732" s="3">
        <f>HYPERLINK("https://sao.dolgi.msk.ru/account/1404273923/", 1404273923)</f>
        <v>1404273923</v>
      </c>
      <c r="F9732">
        <v>-2456.19</v>
      </c>
    </row>
    <row r="9733" spans="1:6" hidden="1" x14ac:dyDescent="0.25">
      <c r="A9733" t="s">
        <v>694</v>
      </c>
      <c r="B9733" t="s">
        <v>359</v>
      </c>
      <c r="E9733" s="3">
        <f>HYPERLINK("https://sao.dolgi.msk.ru/account/1404276868/", 1404276868)</f>
        <v>1404276868</v>
      </c>
      <c r="F9733">
        <v>-2407.34</v>
      </c>
    </row>
    <row r="9734" spans="1:6" x14ac:dyDescent="0.25">
      <c r="A9734" t="s">
        <v>694</v>
      </c>
      <c r="B9734" t="s">
        <v>360</v>
      </c>
      <c r="C9734" s="5" t="str">
        <f>" кв. "&amp;B9734</f>
        <v xml:space="preserve"> кв. 359</v>
      </c>
      <c r="D9734" s="5" t="str">
        <f>CONCATENATE(A9734,C9734)</f>
        <v>Прибрежный пр., дом 7 кв. 359</v>
      </c>
      <c r="E9734" s="3">
        <f>HYPERLINK("https://sao.dolgi.msk.ru/account/1404273931/", 1404273931)</f>
        <v>1404273931</v>
      </c>
      <c r="F9734">
        <v>1009</v>
      </c>
    </row>
    <row r="9735" spans="1:6" hidden="1" x14ac:dyDescent="0.25">
      <c r="A9735" t="s">
        <v>694</v>
      </c>
      <c r="B9735" t="s">
        <v>361</v>
      </c>
      <c r="E9735" s="3">
        <f>HYPERLINK("https://sao.dolgi.msk.ru/account/1404279217/", 1404279217)</f>
        <v>1404279217</v>
      </c>
      <c r="F9735">
        <v>-2042.95</v>
      </c>
    </row>
    <row r="9736" spans="1:6" x14ac:dyDescent="0.25">
      <c r="A9736" t="s">
        <v>694</v>
      </c>
      <c r="B9736" t="s">
        <v>362</v>
      </c>
      <c r="C9736" s="5" t="str">
        <f>" кв. "&amp;B9736</f>
        <v xml:space="preserve"> кв. 361</v>
      </c>
      <c r="D9736" s="5" t="str">
        <f>CONCATENATE(A9736,C9736)</f>
        <v>Прибрежный пр., дом 7 кв. 361</v>
      </c>
      <c r="E9736" s="3">
        <f>HYPERLINK("https://sao.dolgi.msk.ru/account/1404273958/", 1404273958)</f>
        <v>1404273958</v>
      </c>
      <c r="F9736">
        <v>591.96</v>
      </c>
    </row>
    <row r="9737" spans="1:6" hidden="1" x14ac:dyDescent="0.25">
      <c r="A9737" t="s">
        <v>694</v>
      </c>
      <c r="B9737" t="s">
        <v>362</v>
      </c>
      <c r="E9737" s="3">
        <f>HYPERLINK("https://sao.dolgi.msk.ru/account/1404279225/", 1404279225)</f>
        <v>1404279225</v>
      </c>
      <c r="F9737">
        <v>0</v>
      </c>
    </row>
    <row r="9738" spans="1:6" hidden="1" x14ac:dyDescent="0.25">
      <c r="A9738" t="s">
        <v>694</v>
      </c>
      <c r="B9738" t="s">
        <v>363</v>
      </c>
      <c r="E9738" s="3">
        <f>HYPERLINK("https://sao.dolgi.msk.ru/account/1404277692/", 1404277692)</f>
        <v>1404277692</v>
      </c>
      <c r="F9738">
        <v>-2898.04</v>
      </c>
    </row>
    <row r="9739" spans="1:6" hidden="1" x14ac:dyDescent="0.25">
      <c r="A9739" t="s">
        <v>694</v>
      </c>
      <c r="B9739" t="s">
        <v>364</v>
      </c>
      <c r="E9739" s="3">
        <f>HYPERLINK("https://sao.dolgi.msk.ru/account/1404275785/", 1404275785)</f>
        <v>1404275785</v>
      </c>
      <c r="F9739">
        <v>0</v>
      </c>
    </row>
    <row r="9740" spans="1:6" hidden="1" x14ac:dyDescent="0.25">
      <c r="A9740" t="s">
        <v>694</v>
      </c>
      <c r="B9740" t="s">
        <v>365</v>
      </c>
      <c r="E9740" s="3">
        <f>HYPERLINK("https://sao.dolgi.msk.ru/account/1404273632/", 1404273632)</f>
        <v>1404273632</v>
      </c>
      <c r="F9740">
        <v>-1525.27</v>
      </c>
    </row>
    <row r="9741" spans="1:6" hidden="1" x14ac:dyDescent="0.25">
      <c r="A9741" t="s">
        <v>694</v>
      </c>
      <c r="B9741" t="s">
        <v>366</v>
      </c>
      <c r="E9741" s="3">
        <f>HYPERLINK("https://sao.dolgi.msk.ru/account/1404277529/", 1404277529)</f>
        <v>1404277529</v>
      </c>
      <c r="F9741">
        <v>-1451.34</v>
      </c>
    </row>
    <row r="9742" spans="1:6" x14ac:dyDescent="0.25">
      <c r="A9742" t="s">
        <v>694</v>
      </c>
      <c r="B9742" t="s">
        <v>367</v>
      </c>
      <c r="C9742" s="5" t="str">
        <f t="shared" ref="C9742:C9743" si="431">" кв. "&amp;B9742</f>
        <v xml:space="preserve"> кв. 366</v>
      </c>
      <c r="D9742" s="5" t="str">
        <f>CONCATENATE(A9742,C9742)</f>
        <v>Прибрежный пр., дом 7 кв. 366</v>
      </c>
      <c r="E9742" s="3">
        <f>HYPERLINK("https://sao.dolgi.msk.ru/account/1404276024/", 1404276024)</f>
        <v>1404276024</v>
      </c>
      <c r="F9742">
        <v>1311.59</v>
      </c>
    </row>
    <row r="9743" spans="1:6" x14ac:dyDescent="0.25">
      <c r="A9743" t="s">
        <v>694</v>
      </c>
      <c r="B9743" t="s">
        <v>367</v>
      </c>
      <c r="C9743" s="5" t="str">
        <f t="shared" si="431"/>
        <v xml:space="preserve"> кв. 366</v>
      </c>
      <c r="D9743" s="5" t="str">
        <f>CONCATENATE(A9743,C9743)</f>
        <v>Прибрежный пр., дом 7 кв. 366</v>
      </c>
      <c r="E9743" s="3">
        <f>HYPERLINK("https://sao.dolgi.msk.ru/account/1404278302/", 1404278302)</f>
        <v>1404278302</v>
      </c>
      <c r="F9743">
        <v>327.89</v>
      </c>
    </row>
    <row r="9744" spans="1:6" hidden="1" x14ac:dyDescent="0.25">
      <c r="A9744" t="s">
        <v>694</v>
      </c>
      <c r="B9744" t="s">
        <v>368</v>
      </c>
      <c r="E9744" s="3">
        <f>HYPERLINK("https://sao.dolgi.msk.ru/account/1404275793/", 1404275793)</f>
        <v>1404275793</v>
      </c>
      <c r="F9744">
        <v>-2491.2199999999998</v>
      </c>
    </row>
    <row r="9745" spans="1:6" hidden="1" x14ac:dyDescent="0.25">
      <c r="A9745" t="s">
        <v>694</v>
      </c>
      <c r="B9745" t="s">
        <v>369</v>
      </c>
      <c r="E9745" s="3">
        <f>HYPERLINK("https://sao.dolgi.msk.ru/account/1404274395/", 1404274395)</f>
        <v>1404274395</v>
      </c>
      <c r="F9745">
        <v>-1797.58</v>
      </c>
    </row>
    <row r="9746" spans="1:6" hidden="1" x14ac:dyDescent="0.25">
      <c r="A9746" t="s">
        <v>694</v>
      </c>
      <c r="B9746" t="s">
        <v>370</v>
      </c>
      <c r="E9746" s="3">
        <f>HYPERLINK("https://sao.dolgi.msk.ru/account/1404274408/", 1404274408)</f>
        <v>1404274408</v>
      </c>
      <c r="F9746">
        <v>-1639.5</v>
      </c>
    </row>
    <row r="9747" spans="1:6" x14ac:dyDescent="0.25">
      <c r="A9747" t="s">
        <v>694</v>
      </c>
      <c r="B9747" t="s">
        <v>371</v>
      </c>
      <c r="C9747" s="5" t="str">
        <f t="shared" ref="C9747:C9748" si="432">" кв. "&amp;B9747</f>
        <v xml:space="preserve"> кв. 370</v>
      </c>
      <c r="D9747" s="5" t="str">
        <f>CONCATENATE(A9747,C9747)</f>
        <v>Прибрежный пр., дом 7 кв. 370</v>
      </c>
      <c r="E9747" s="3">
        <f>HYPERLINK("https://sao.dolgi.msk.ru/account/1404278927/", 1404278927)</f>
        <v>1404278927</v>
      </c>
      <c r="F9747">
        <v>994.77</v>
      </c>
    </row>
    <row r="9748" spans="1:6" x14ac:dyDescent="0.25">
      <c r="A9748" t="s">
        <v>694</v>
      </c>
      <c r="B9748" t="s">
        <v>372</v>
      </c>
      <c r="C9748" s="5" t="str">
        <f t="shared" si="432"/>
        <v xml:space="preserve"> кв. 371</v>
      </c>
      <c r="D9748" s="5" t="str">
        <f>CONCATENATE(A9748,C9748)</f>
        <v>Прибрежный пр., дом 7 кв. 371</v>
      </c>
      <c r="E9748" s="3">
        <f>HYPERLINK("https://sao.dolgi.msk.ru/account/1404273659/", 1404273659)</f>
        <v>1404273659</v>
      </c>
      <c r="F9748">
        <v>999.51</v>
      </c>
    </row>
    <row r="9749" spans="1:6" hidden="1" x14ac:dyDescent="0.25">
      <c r="A9749" t="s">
        <v>694</v>
      </c>
      <c r="B9749" t="s">
        <v>373</v>
      </c>
      <c r="E9749" s="3">
        <f>HYPERLINK("https://sao.dolgi.msk.ru/account/1404277537/", 1404277537)</f>
        <v>1404277537</v>
      </c>
      <c r="F9749">
        <v>-2038.32</v>
      </c>
    </row>
    <row r="9750" spans="1:6" hidden="1" x14ac:dyDescent="0.25">
      <c r="A9750" t="s">
        <v>694</v>
      </c>
      <c r="B9750" t="s">
        <v>374</v>
      </c>
      <c r="E9750" s="3">
        <f>HYPERLINK("https://sao.dolgi.msk.ru/account/1404278935/", 1404278935)</f>
        <v>1404278935</v>
      </c>
      <c r="F9750">
        <v>-2902.66</v>
      </c>
    </row>
    <row r="9751" spans="1:6" x14ac:dyDescent="0.25">
      <c r="A9751" t="s">
        <v>694</v>
      </c>
      <c r="B9751" t="s">
        <v>375</v>
      </c>
      <c r="C9751" s="5" t="str">
        <f>" кв. "&amp;B9751</f>
        <v xml:space="preserve"> кв. 374</v>
      </c>
      <c r="D9751" s="5" t="str">
        <f>CONCATENATE(A9751,C9751)</f>
        <v>Прибрежный пр., дом 7 кв. 374</v>
      </c>
      <c r="E9751" s="3">
        <f>HYPERLINK("https://sao.dolgi.msk.ru/account/1404277545/", 1404277545)</f>
        <v>1404277545</v>
      </c>
      <c r="F9751">
        <v>1976.88</v>
      </c>
    </row>
    <row r="9752" spans="1:6" hidden="1" x14ac:dyDescent="0.25">
      <c r="A9752" t="s">
        <v>694</v>
      </c>
      <c r="B9752" t="s">
        <v>376</v>
      </c>
      <c r="E9752" s="3">
        <f>HYPERLINK("https://sao.dolgi.msk.ru/account/1404276649/", 1404276649)</f>
        <v>1404276649</v>
      </c>
      <c r="F9752">
        <v>-1483.68</v>
      </c>
    </row>
    <row r="9753" spans="1:6" x14ac:dyDescent="0.25">
      <c r="A9753" t="s">
        <v>694</v>
      </c>
      <c r="B9753" t="s">
        <v>377</v>
      </c>
      <c r="C9753" s="5" t="str">
        <f>" кв. "&amp;B9753</f>
        <v xml:space="preserve"> кв. 376</v>
      </c>
      <c r="D9753" s="5" t="str">
        <f>CONCATENATE(A9753,C9753)</f>
        <v>Прибрежный пр., дом 7 кв. 376</v>
      </c>
      <c r="E9753" s="3">
        <f>HYPERLINK("https://sao.dolgi.msk.ru/account/1404275814/", 1404275814)</f>
        <v>1404275814</v>
      </c>
      <c r="F9753">
        <v>1407.54</v>
      </c>
    </row>
    <row r="9754" spans="1:6" hidden="1" x14ac:dyDescent="0.25">
      <c r="A9754" t="s">
        <v>694</v>
      </c>
      <c r="B9754" t="s">
        <v>378</v>
      </c>
      <c r="E9754" s="3">
        <f>HYPERLINK("https://sao.dolgi.msk.ru/account/1404274416/", 1404274416)</f>
        <v>1404274416</v>
      </c>
      <c r="F9754">
        <v>-2163.14</v>
      </c>
    </row>
    <row r="9755" spans="1:6" x14ac:dyDescent="0.25">
      <c r="A9755" t="s">
        <v>694</v>
      </c>
      <c r="B9755" t="s">
        <v>379</v>
      </c>
      <c r="C9755" s="5" t="str">
        <f>" кв. "&amp;B9755</f>
        <v xml:space="preserve"> кв. 378</v>
      </c>
      <c r="D9755" s="5" t="str">
        <f>CONCATENATE(A9755,C9755)</f>
        <v>Прибрежный пр., дом 7 кв. 378</v>
      </c>
      <c r="E9755" s="3">
        <f>HYPERLINK("https://sao.dolgi.msk.ru/account/1404275099/", 1404275099)</f>
        <v>1404275099</v>
      </c>
      <c r="F9755">
        <v>1970.55</v>
      </c>
    </row>
    <row r="9756" spans="1:6" hidden="1" x14ac:dyDescent="0.25">
      <c r="A9756" t="s">
        <v>694</v>
      </c>
      <c r="B9756" t="s">
        <v>380</v>
      </c>
      <c r="E9756" s="3">
        <f>HYPERLINK("https://sao.dolgi.msk.ru/account/1404275822/", 1404275822)</f>
        <v>1404275822</v>
      </c>
      <c r="F9756">
        <v>0</v>
      </c>
    </row>
    <row r="9757" spans="1:6" hidden="1" x14ac:dyDescent="0.25">
      <c r="A9757" t="s">
        <v>694</v>
      </c>
      <c r="B9757" t="s">
        <v>381</v>
      </c>
      <c r="E9757" s="3">
        <f>HYPERLINK("https://sao.dolgi.msk.ru/account/1404277553/", 1404277553)</f>
        <v>1404277553</v>
      </c>
      <c r="F9757">
        <v>-2056.8200000000002</v>
      </c>
    </row>
    <row r="9758" spans="1:6" hidden="1" x14ac:dyDescent="0.25">
      <c r="A9758" t="s">
        <v>694</v>
      </c>
      <c r="B9758" t="s">
        <v>382</v>
      </c>
      <c r="E9758" s="3">
        <f>HYPERLINK("https://sao.dolgi.msk.ru/account/1404276657/", 1404276657)</f>
        <v>1404276657</v>
      </c>
      <c r="F9758">
        <v>-2930.38</v>
      </c>
    </row>
    <row r="9759" spans="1:6" hidden="1" x14ac:dyDescent="0.25">
      <c r="A9759" t="s">
        <v>694</v>
      </c>
      <c r="B9759" t="s">
        <v>383</v>
      </c>
      <c r="E9759" s="3">
        <f>HYPERLINK("https://sao.dolgi.msk.ru/account/1404275697/", 1404275697)</f>
        <v>1404275697</v>
      </c>
      <c r="F9759">
        <v>-1733.02</v>
      </c>
    </row>
    <row r="9760" spans="1:6" x14ac:dyDescent="0.25">
      <c r="A9760" t="s">
        <v>694</v>
      </c>
      <c r="B9760" t="s">
        <v>384</v>
      </c>
      <c r="C9760" s="5" t="str">
        <f>" кв. "&amp;B9760</f>
        <v xml:space="preserve"> кв. 383</v>
      </c>
      <c r="D9760" s="5" t="str">
        <f>CONCATENATE(A9760,C9760)</f>
        <v>Прибрежный пр., дом 7 кв. 383</v>
      </c>
      <c r="E9760" s="3">
        <f>HYPERLINK("https://sao.dolgi.msk.ru/account/1404278193/", 1404278193)</f>
        <v>1404278193</v>
      </c>
      <c r="F9760">
        <v>832.1</v>
      </c>
    </row>
    <row r="9761" spans="1:6" hidden="1" x14ac:dyDescent="0.25">
      <c r="A9761" t="s">
        <v>694</v>
      </c>
      <c r="B9761" t="s">
        <v>385</v>
      </c>
      <c r="E9761" s="3">
        <f>HYPERLINK("https://sao.dolgi.msk.ru/account/1404273528/", 1404273528)</f>
        <v>1404273528</v>
      </c>
      <c r="F9761">
        <v>0</v>
      </c>
    </row>
    <row r="9762" spans="1:6" x14ac:dyDescent="0.25">
      <c r="A9762" t="s">
        <v>694</v>
      </c>
      <c r="B9762" t="s">
        <v>386</v>
      </c>
      <c r="C9762" s="5" t="str">
        <f>" кв. "&amp;B9762</f>
        <v xml:space="preserve"> кв. 385</v>
      </c>
      <c r="D9762" s="5" t="str">
        <f>CONCATENATE(A9762,C9762)</f>
        <v>Прибрежный пр., дом 7 кв. 385</v>
      </c>
      <c r="E9762" s="3">
        <f>HYPERLINK("https://sao.dolgi.msk.ru/account/1404277369/", 1404277369)</f>
        <v>1404277369</v>
      </c>
      <c r="F9762">
        <v>836.07</v>
      </c>
    </row>
    <row r="9763" spans="1:6" hidden="1" x14ac:dyDescent="0.25">
      <c r="A9763" t="s">
        <v>694</v>
      </c>
      <c r="B9763" t="s">
        <v>387</v>
      </c>
      <c r="E9763" s="3">
        <f>HYPERLINK("https://sao.dolgi.msk.ru/account/1404274926/", 1404274926)</f>
        <v>1404274926</v>
      </c>
      <c r="F9763">
        <v>-2921.16</v>
      </c>
    </row>
    <row r="9764" spans="1:6" hidden="1" x14ac:dyDescent="0.25">
      <c r="A9764" t="s">
        <v>694</v>
      </c>
      <c r="B9764" t="s">
        <v>388</v>
      </c>
      <c r="E9764" s="3">
        <f>HYPERLINK("https://sao.dolgi.msk.ru/account/1404278812/", 1404278812)</f>
        <v>1404278812</v>
      </c>
      <c r="F9764">
        <v>-1233.93</v>
      </c>
    </row>
    <row r="9765" spans="1:6" x14ac:dyDescent="0.25">
      <c r="A9765" t="s">
        <v>694</v>
      </c>
      <c r="B9765" t="s">
        <v>389</v>
      </c>
      <c r="C9765" s="5" t="str">
        <f t="shared" ref="C9765:C9766" si="433">" кв. "&amp;B9765</f>
        <v xml:space="preserve"> кв. 388</v>
      </c>
      <c r="D9765" s="5" t="str">
        <f>CONCATENATE(A9765,C9765)</f>
        <v>Прибрежный пр., дом 7 кв. 388</v>
      </c>
      <c r="E9765" s="3">
        <f>HYPERLINK("https://sao.dolgi.msk.ru/account/1404276526/", 1404276526)</f>
        <v>1404276526</v>
      </c>
      <c r="F9765">
        <v>1391.72</v>
      </c>
    </row>
    <row r="9766" spans="1:6" x14ac:dyDescent="0.25">
      <c r="A9766" t="s">
        <v>694</v>
      </c>
      <c r="B9766" t="s">
        <v>390</v>
      </c>
      <c r="C9766" s="5" t="str">
        <f t="shared" si="433"/>
        <v xml:space="preserve"> кв. 389</v>
      </c>
      <c r="D9766" s="5" t="str">
        <f>CONCATENATE(A9766,C9766)</f>
        <v>Прибрежный пр., дом 7 кв. 389</v>
      </c>
      <c r="E9766" s="3">
        <f>HYPERLINK("https://sao.dolgi.msk.ru/account/1404277377/", 1404277377)</f>
        <v>1404277377</v>
      </c>
      <c r="F9766">
        <v>676.06</v>
      </c>
    </row>
    <row r="9767" spans="1:6" hidden="1" x14ac:dyDescent="0.25">
      <c r="A9767" t="s">
        <v>694</v>
      </c>
      <c r="B9767" t="s">
        <v>390</v>
      </c>
      <c r="E9767" s="3">
        <f>HYPERLINK("https://sao.dolgi.msk.ru/account/1404277385/", 1404277385)</f>
        <v>1404277385</v>
      </c>
      <c r="F9767">
        <v>0</v>
      </c>
    </row>
    <row r="9768" spans="1:6" x14ac:dyDescent="0.25">
      <c r="A9768" t="s">
        <v>694</v>
      </c>
      <c r="B9768" t="s">
        <v>390</v>
      </c>
      <c r="C9768" s="5" t="str">
        <f>" кв. "&amp;B9768</f>
        <v xml:space="preserve"> кв. 389</v>
      </c>
      <c r="D9768" s="5" t="str">
        <f>CONCATENATE(A9768,C9768)</f>
        <v>Прибрежный пр., дом 7 кв. 389</v>
      </c>
      <c r="E9768" s="3">
        <f>HYPERLINK("https://sao.dolgi.msk.ru/account/1404278839/", 1404278839)</f>
        <v>1404278839</v>
      </c>
      <c r="F9768">
        <v>740.01</v>
      </c>
    </row>
    <row r="9769" spans="1:6" hidden="1" x14ac:dyDescent="0.25">
      <c r="A9769" t="s">
        <v>694</v>
      </c>
      <c r="B9769" t="s">
        <v>391</v>
      </c>
      <c r="E9769" s="3">
        <f>HYPERLINK("https://sao.dolgi.msk.ru/account/1404277393/", 1404277393)</f>
        <v>1404277393</v>
      </c>
      <c r="F9769">
        <v>-2011.56</v>
      </c>
    </row>
    <row r="9770" spans="1:6" hidden="1" x14ac:dyDescent="0.25">
      <c r="A9770" t="s">
        <v>694</v>
      </c>
      <c r="B9770" t="s">
        <v>392</v>
      </c>
      <c r="E9770" s="3">
        <f>HYPERLINK("https://sao.dolgi.msk.ru/account/1404277289/", 1404277289)</f>
        <v>1404277289</v>
      </c>
      <c r="F9770">
        <v>-1460.57</v>
      </c>
    </row>
    <row r="9771" spans="1:6" hidden="1" x14ac:dyDescent="0.25">
      <c r="A9771" t="s">
        <v>694</v>
      </c>
      <c r="B9771" t="s">
        <v>393</v>
      </c>
      <c r="E9771" s="3">
        <f>HYPERLINK("https://sao.dolgi.msk.ru/account/1404278767/", 1404278767)</f>
        <v>1404278767</v>
      </c>
      <c r="F9771">
        <v>-2047.57</v>
      </c>
    </row>
    <row r="9772" spans="1:6" x14ac:dyDescent="0.25">
      <c r="A9772" t="s">
        <v>694</v>
      </c>
      <c r="B9772" t="s">
        <v>394</v>
      </c>
      <c r="C9772" s="5" t="str">
        <f>" кв. "&amp;B9772</f>
        <v xml:space="preserve"> кв. 393</v>
      </c>
      <c r="D9772" s="5" t="str">
        <f>CONCATENATE(A9772,C9772)</f>
        <v>Прибрежный пр., дом 7 кв. 393</v>
      </c>
      <c r="E9772" s="3">
        <f>HYPERLINK("https://sao.dolgi.msk.ru/account/1404278054/", 1404278054)</f>
        <v>1404278054</v>
      </c>
      <c r="F9772">
        <v>1999.02</v>
      </c>
    </row>
    <row r="9773" spans="1:6" hidden="1" x14ac:dyDescent="0.25">
      <c r="A9773" t="s">
        <v>694</v>
      </c>
      <c r="B9773" t="s">
        <v>395</v>
      </c>
      <c r="E9773" s="3">
        <f>HYPERLINK("https://sao.dolgi.msk.ru/account/1404274328/", 1404274328)</f>
        <v>1404274328</v>
      </c>
      <c r="F9773">
        <v>-2456.19</v>
      </c>
    </row>
    <row r="9774" spans="1:6" x14ac:dyDescent="0.25">
      <c r="A9774" t="s">
        <v>694</v>
      </c>
      <c r="B9774" t="s">
        <v>396</v>
      </c>
      <c r="C9774" s="5" t="str">
        <f t="shared" ref="C9774:C9775" si="434">" кв. "&amp;B9774</f>
        <v xml:space="preserve"> кв. 395</v>
      </c>
      <c r="D9774" s="5" t="str">
        <f>CONCATENATE(A9774,C9774)</f>
        <v>Прибрежный пр., дом 7 кв. 395</v>
      </c>
      <c r="E9774" s="3">
        <f>HYPERLINK("https://sao.dolgi.msk.ru/account/1404275638/", 1404275638)</f>
        <v>1404275638</v>
      </c>
      <c r="F9774">
        <v>996.35</v>
      </c>
    </row>
    <row r="9775" spans="1:6" x14ac:dyDescent="0.25">
      <c r="A9775" t="s">
        <v>694</v>
      </c>
      <c r="B9775" t="s">
        <v>397</v>
      </c>
      <c r="C9775" s="5" t="str">
        <f t="shared" si="434"/>
        <v xml:space="preserve"> кв. 396</v>
      </c>
      <c r="D9775" s="5" t="str">
        <f>CONCATENATE(A9775,C9775)</f>
        <v>Прибрежный пр., дом 7 кв. 396</v>
      </c>
      <c r="E9775" s="3">
        <f>HYPERLINK("https://sao.dolgi.msk.ru/account/1404278775/", 1404278775)</f>
        <v>1404278775</v>
      </c>
      <c r="F9775">
        <v>1394.88</v>
      </c>
    </row>
    <row r="9776" spans="1:6" hidden="1" x14ac:dyDescent="0.25">
      <c r="A9776" t="s">
        <v>694</v>
      </c>
      <c r="B9776" t="s">
        <v>398</v>
      </c>
      <c r="E9776" s="3">
        <f>HYPERLINK("https://sao.dolgi.msk.ru/account/1404275371/", 1404275371)</f>
        <v>1404275371</v>
      </c>
      <c r="F9776">
        <v>0</v>
      </c>
    </row>
    <row r="9777" spans="1:6" x14ac:dyDescent="0.25">
      <c r="A9777" t="s">
        <v>694</v>
      </c>
      <c r="B9777" t="s">
        <v>398</v>
      </c>
      <c r="C9777" s="5" t="str">
        <f>" кв. "&amp;B9777</f>
        <v xml:space="preserve"> кв. 397</v>
      </c>
      <c r="D9777" s="5" t="str">
        <f>CONCATENATE(A9777,C9777)</f>
        <v>Прибрежный пр., дом 7 кв. 397</v>
      </c>
      <c r="E9777" s="3">
        <f>HYPERLINK("https://sao.dolgi.msk.ru/account/1404275646/", 1404275646)</f>
        <v>1404275646</v>
      </c>
      <c r="F9777">
        <v>579.71</v>
      </c>
    </row>
    <row r="9778" spans="1:6" hidden="1" x14ac:dyDescent="0.25">
      <c r="A9778" t="s">
        <v>694</v>
      </c>
      <c r="B9778" t="s">
        <v>398</v>
      </c>
      <c r="E9778" s="3">
        <f>HYPERLINK("https://sao.dolgi.msk.ru/account/1404277991/", 1404277991)</f>
        <v>1404277991</v>
      </c>
      <c r="F9778">
        <v>-1080.82</v>
      </c>
    </row>
    <row r="9779" spans="1:6" x14ac:dyDescent="0.25">
      <c r="A9779" t="s">
        <v>694</v>
      </c>
      <c r="B9779" t="s">
        <v>399</v>
      </c>
      <c r="C9779" s="5" t="str">
        <f>" кв. "&amp;B9779</f>
        <v xml:space="preserve"> кв. 398</v>
      </c>
      <c r="D9779" s="5" t="str">
        <f>CONCATENATE(A9779,C9779)</f>
        <v>Прибрежный пр., дом 7 кв. 398</v>
      </c>
      <c r="E9779" s="3">
        <f>HYPERLINK("https://sao.dolgi.msk.ru/account/1404277297/", 1404277297)</f>
        <v>1404277297</v>
      </c>
      <c r="F9779">
        <v>1992.69</v>
      </c>
    </row>
    <row r="9780" spans="1:6" hidden="1" x14ac:dyDescent="0.25">
      <c r="A9780" t="s">
        <v>694</v>
      </c>
      <c r="B9780" t="s">
        <v>400</v>
      </c>
      <c r="E9780" s="3">
        <f>HYPERLINK("https://sao.dolgi.msk.ru/account/1404276462/", 1404276462)</f>
        <v>1404276462</v>
      </c>
      <c r="F9780">
        <v>0</v>
      </c>
    </row>
    <row r="9781" spans="1:6" hidden="1" x14ac:dyDescent="0.25">
      <c r="A9781" t="s">
        <v>694</v>
      </c>
      <c r="B9781" t="s">
        <v>401</v>
      </c>
      <c r="E9781" s="3">
        <f>HYPERLINK("https://sao.dolgi.msk.ru/account/1404277246/", 1404277246)</f>
        <v>1404277246</v>
      </c>
      <c r="F9781">
        <v>0</v>
      </c>
    </row>
    <row r="9782" spans="1:6" hidden="1" x14ac:dyDescent="0.25">
      <c r="A9782" t="s">
        <v>694</v>
      </c>
      <c r="B9782" t="s">
        <v>402</v>
      </c>
      <c r="E9782" s="3">
        <f>HYPERLINK("https://sao.dolgi.msk.ru/account/1404274299/", 1404274299)</f>
        <v>1404274299</v>
      </c>
      <c r="F9782">
        <v>-2925.78</v>
      </c>
    </row>
    <row r="9783" spans="1:6" hidden="1" x14ac:dyDescent="0.25">
      <c r="A9783" t="s">
        <v>694</v>
      </c>
      <c r="B9783" t="s">
        <v>403</v>
      </c>
      <c r="E9783" s="3">
        <f>HYPERLINK("https://sao.dolgi.msk.ru/account/1404278003/", 1404278003)</f>
        <v>1404278003</v>
      </c>
      <c r="F9783">
        <v>-2456.19</v>
      </c>
    </row>
    <row r="9784" spans="1:6" hidden="1" x14ac:dyDescent="0.25">
      <c r="A9784" t="s">
        <v>694</v>
      </c>
      <c r="B9784" t="s">
        <v>404</v>
      </c>
      <c r="E9784" s="3">
        <f>HYPERLINK("https://sao.dolgi.msk.ru/account/1404278732/", 1404278732)</f>
        <v>1404278732</v>
      </c>
      <c r="F9784">
        <v>0</v>
      </c>
    </row>
    <row r="9785" spans="1:6" x14ac:dyDescent="0.25">
      <c r="A9785" t="s">
        <v>694</v>
      </c>
      <c r="B9785" t="s">
        <v>405</v>
      </c>
      <c r="C9785" s="5" t="str">
        <f>" кв. "&amp;B9785</f>
        <v xml:space="preserve"> кв. 404</v>
      </c>
      <c r="D9785" s="5" t="str">
        <f>CONCATENATE(A9785,C9785)</f>
        <v>Прибрежный пр., дом 7 кв. 404</v>
      </c>
      <c r="E9785" s="3">
        <f>HYPERLINK("https://sao.dolgi.msk.ru/account/1404274301/", 1404274301)</f>
        <v>1404274301</v>
      </c>
      <c r="F9785">
        <v>1404.37</v>
      </c>
    </row>
    <row r="9786" spans="1:6" hidden="1" x14ac:dyDescent="0.25">
      <c r="A9786" t="s">
        <v>694</v>
      </c>
      <c r="B9786" t="s">
        <v>406</v>
      </c>
      <c r="E9786" s="3">
        <f>HYPERLINK("https://sao.dolgi.msk.ru/account/1404275662/", 1404275662)</f>
        <v>1404275662</v>
      </c>
      <c r="F9786">
        <v>-817.43</v>
      </c>
    </row>
    <row r="9787" spans="1:6" hidden="1" x14ac:dyDescent="0.25">
      <c r="A9787" t="s">
        <v>694</v>
      </c>
      <c r="B9787" t="s">
        <v>406</v>
      </c>
      <c r="E9787" s="3">
        <f>HYPERLINK("https://sao.dolgi.msk.ru/account/1404278011/", 1404278011)</f>
        <v>1404278011</v>
      </c>
      <c r="F9787">
        <v>-1112.96</v>
      </c>
    </row>
    <row r="9788" spans="1:6" hidden="1" x14ac:dyDescent="0.25">
      <c r="A9788" t="s">
        <v>694</v>
      </c>
      <c r="B9788" t="s">
        <v>407</v>
      </c>
      <c r="E9788" s="3">
        <f>HYPERLINK("https://sao.dolgi.msk.ru/account/1404275603/", 1404275603)</f>
        <v>1404275603</v>
      </c>
      <c r="F9788">
        <v>-2020.81</v>
      </c>
    </row>
    <row r="9789" spans="1:6" hidden="1" x14ac:dyDescent="0.25">
      <c r="A9789" t="s">
        <v>694</v>
      </c>
      <c r="B9789" t="s">
        <v>408</v>
      </c>
      <c r="E9789" s="3">
        <f>HYPERLINK("https://sao.dolgi.msk.ru/account/1404274854/", 1404274854)</f>
        <v>1404274854</v>
      </c>
      <c r="F9789">
        <v>-730.28</v>
      </c>
    </row>
    <row r="9790" spans="1:6" x14ac:dyDescent="0.25">
      <c r="A9790" t="s">
        <v>694</v>
      </c>
      <c r="B9790" t="s">
        <v>409</v>
      </c>
      <c r="C9790" s="5" t="str">
        <f>" кв. "&amp;B9790</f>
        <v xml:space="preserve"> кв. 408</v>
      </c>
      <c r="D9790" s="5" t="str">
        <f>CONCATENATE(A9790,C9790)</f>
        <v>Прибрежный пр., дом 7 кв. 408</v>
      </c>
      <c r="E9790" s="3">
        <f>HYPERLINK("https://sao.dolgi.msk.ru/account/1404276411/", 1404276411)</f>
        <v>1404276411</v>
      </c>
      <c r="F9790">
        <v>1407.54</v>
      </c>
    </row>
    <row r="9791" spans="1:6" hidden="1" x14ac:dyDescent="0.25">
      <c r="A9791" t="s">
        <v>694</v>
      </c>
      <c r="B9791" t="s">
        <v>410</v>
      </c>
      <c r="E9791" s="3">
        <f>HYPERLINK("https://sao.dolgi.msk.ru/account/1404273421/", 1404273421)</f>
        <v>1404273421</v>
      </c>
      <c r="F9791">
        <v>-1465.19</v>
      </c>
    </row>
    <row r="9792" spans="1:6" x14ac:dyDescent="0.25">
      <c r="A9792" t="s">
        <v>694</v>
      </c>
      <c r="B9792" t="s">
        <v>411</v>
      </c>
      <c r="C9792" s="5" t="str">
        <f>" кв. "&amp;B9792</f>
        <v xml:space="preserve"> кв. 410</v>
      </c>
      <c r="D9792" s="5" t="str">
        <f>CONCATENATE(A9792,C9792)</f>
        <v>Прибрежный пр., дом 7 кв. 410</v>
      </c>
      <c r="E9792" s="3">
        <f>HYPERLINK("https://sao.dolgi.msk.ru/account/1404278046/", 1404278046)</f>
        <v>1404278046</v>
      </c>
      <c r="F9792">
        <v>1999.02</v>
      </c>
    </row>
    <row r="9793" spans="1:6" hidden="1" x14ac:dyDescent="0.25">
      <c r="A9793" t="s">
        <v>694</v>
      </c>
      <c r="B9793" t="s">
        <v>429</v>
      </c>
      <c r="E9793" s="3">
        <f>HYPERLINK("https://sao.dolgi.msk.ru/account/1404276438/", 1404276438)</f>
        <v>1404276438</v>
      </c>
      <c r="F9793">
        <v>-1241.72</v>
      </c>
    </row>
    <row r="9794" spans="1:6" hidden="1" x14ac:dyDescent="0.25">
      <c r="A9794" t="s">
        <v>694</v>
      </c>
      <c r="B9794" t="s">
        <v>430</v>
      </c>
      <c r="E9794" s="3">
        <f>HYPERLINK("https://sao.dolgi.msk.ru/account/1404274862/", 1404274862)</f>
        <v>1404274862</v>
      </c>
      <c r="F9794">
        <v>-2061.44</v>
      </c>
    </row>
    <row r="9795" spans="1:6" x14ac:dyDescent="0.25">
      <c r="A9795" t="s">
        <v>694</v>
      </c>
      <c r="B9795" t="s">
        <v>431</v>
      </c>
      <c r="C9795" s="5" t="str">
        <f>" кв. "&amp;B9795</f>
        <v xml:space="preserve"> кв. 413</v>
      </c>
      <c r="D9795" s="5" t="str">
        <f>CONCATENATE(A9795,C9795)</f>
        <v>Прибрежный пр., дом 7 кв. 413</v>
      </c>
      <c r="E9795" s="3">
        <f>HYPERLINK("https://sao.dolgi.msk.ru/account/1404276446/", 1404276446)</f>
        <v>1404276446</v>
      </c>
      <c r="F9795">
        <v>1995.85</v>
      </c>
    </row>
    <row r="9796" spans="1:6" hidden="1" x14ac:dyDescent="0.25">
      <c r="A9796" t="s">
        <v>694</v>
      </c>
      <c r="B9796" t="s">
        <v>432</v>
      </c>
      <c r="E9796" s="3">
        <f>HYPERLINK("https://sao.dolgi.msk.ru/account/1404274002/", 1404274002)</f>
        <v>1404274002</v>
      </c>
      <c r="F9796">
        <v>-730.29</v>
      </c>
    </row>
    <row r="9797" spans="1:6" hidden="1" x14ac:dyDescent="0.25">
      <c r="A9797" t="s">
        <v>694</v>
      </c>
      <c r="B9797" t="s">
        <v>432</v>
      </c>
      <c r="E9797" s="3">
        <f>HYPERLINK("https://sao.dolgi.msk.ru/account/1404277254/", 1404277254)</f>
        <v>1404277254</v>
      </c>
      <c r="F9797">
        <v>-1428.22</v>
      </c>
    </row>
    <row r="9798" spans="1:6" x14ac:dyDescent="0.25">
      <c r="A9798" t="s">
        <v>694</v>
      </c>
      <c r="B9798" t="s">
        <v>433</v>
      </c>
      <c r="C9798" s="5" t="str">
        <f>" кв. "&amp;B9798</f>
        <v xml:space="preserve"> кв. 415</v>
      </c>
      <c r="D9798" s="5" t="str">
        <f>CONCATENATE(A9798,C9798)</f>
        <v>Прибрежный пр., дом 7 кв. 415</v>
      </c>
      <c r="E9798" s="3">
        <f>HYPERLINK("https://sao.dolgi.msk.ru/account/1404276454/", 1404276454)</f>
        <v>1404276454</v>
      </c>
      <c r="F9798">
        <v>1012.16</v>
      </c>
    </row>
    <row r="9799" spans="1:6" hidden="1" x14ac:dyDescent="0.25">
      <c r="A9799" t="s">
        <v>694</v>
      </c>
      <c r="B9799" t="s">
        <v>434</v>
      </c>
      <c r="E9799" s="3">
        <f>HYPERLINK("https://sao.dolgi.msk.ru/account/1404275611/", 1404275611)</f>
        <v>1404275611</v>
      </c>
      <c r="F9799">
        <v>-1881.73</v>
      </c>
    </row>
    <row r="9800" spans="1:6" hidden="1" x14ac:dyDescent="0.25">
      <c r="A9800" t="s">
        <v>694</v>
      </c>
      <c r="B9800" t="s">
        <v>435</v>
      </c>
      <c r="E9800" s="3">
        <f>HYPERLINK("https://sao.dolgi.msk.ru/account/1404274889/", 1404274889)</f>
        <v>1404274889</v>
      </c>
      <c r="F9800">
        <v>-2921.16</v>
      </c>
    </row>
    <row r="9801" spans="1:6" x14ac:dyDescent="0.25">
      <c r="A9801" t="s">
        <v>694</v>
      </c>
      <c r="B9801" t="s">
        <v>436</v>
      </c>
      <c r="C9801" s="5" t="str">
        <f>" кв. "&amp;B9801</f>
        <v xml:space="preserve"> кв. 418</v>
      </c>
      <c r="D9801" s="5" t="str">
        <f>CONCATENATE(A9801,C9801)</f>
        <v>Прибрежный пр., дом 7 кв. 418</v>
      </c>
      <c r="E9801" s="3">
        <f>HYPERLINK("https://sao.dolgi.msk.ru/account/1404273448/", 1404273448)</f>
        <v>1404273448</v>
      </c>
      <c r="F9801">
        <v>1999.02</v>
      </c>
    </row>
    <row r="9802" spans="1:6" hidden="1" x14ac:dyDescent="0.25">
      <c r="A9802" t="s">
        <v>694</v>
      </c>
      <c r="B9802" t="s">
        <v>437</v>
      </c>
      <c r="E9802" s="3">
        <f>HYPERLINK("https://sao.dolgi.msk.ru/account/1404277262/", 1404277262)</f>
        <v>1404277262</v>
      </c>
      <c r="F9802">
        <v>0</v>
      </c>
    </row>
    <row r="9803" spans="1:6" hidden="1" x14ac:dyDescent="0.25">
      <c r="A9803" t="s">
        <v>694</v>
      </c>
      <c r="B9803" t="s">
        <v>438</v>
      </c>
      <c r="E9803" s="3">
        <f>HYPERLINK("https://sao.dolgi.msk.ru/account/1404273456/", 1404273456)</f>
        <v>1404273456</v>
      </c>
      <c r="F9803">
        <v>-2056.8200000000002</v>
      </c>
    </row>
    <row r="9804" spans="1:6" hidden="1" x14ac:dyDescent="0.25">
      <c r="A9804" t="s">
        <v>694</v>
      </c>
      <c r="B9804" t="s">
        <v>439</v>
      </c>
      <c r="E9804" s="3">
        <f>HYPERLINK("https://sao.dolgi.msk.ru/account/1404277158/", 1404277158)</f>
        <v>1404277158</v>
      </c>
      <c r="F9804">
        <v>0</v>
      </c>
    </row>
    <row r="9805" spans="1:6" hidden="1" x14ac:dyDescent="0.25">
      <c r="A9805" t="s">
        <v>694</v>
      </c>
      <c r="B9805" t="s">
        <v>440</v>
      </c>
      <c r="E9805" s="3">
        <f>HYPERLINK("https://sao.dolgi.msk.ru/account/1404275718/", 1404275718)</f>
        <v>1404275718</v>
      </c>
      <c r="F9805">
        <v>-2930.38</v>
      </c>
    </row>
    <row r="9806" spans="1:6" hidden="1" x14ac:dyDescent="0.25">
      <c r="A9806" t="s">
        <v>694</v>
      </c>
      <c r="B9806" t="s">
        <v>441</v>
      </c>
      <c r="E9806" s="3">
        <f>HYPERLINK("https://sao.dolgi.msk.ru/account/1404278214/", 1404278214)</f>
        <v>1404278214</v>
      </c>
      <c r="F9806">
        <v>-1497.55</v>
      </c>
    </row>
    <row r="9807" spans="1:6" hidden="1" x14ac:dyDescent="0.25">
      <c r="A9807" t="s">
        <v>694</v>
      </c>
      <c r="B9807" t="s">
        <v>442</v>
      </c>
      <c r="E9807" s="3">
        <f>HYPERLINK("https://sao.dolgi.msk.ru/account/1404274985/", 1404274985)</f>
        <v>1404274985</v>
      </c>
      <c r="F9807">
        <v>0</v>
      </c>
    </row>
    <row r="9808" spans="1:6" x14ac:dyDescent="0.25">
      <c r="A9808" t="s">
        <v>694</v>
      </c>
      <c r="B9808" t="s">
        <v>443</v>
      </c>
      <c r="C9808" s="5" t="str">
        <f>" кв. "&amp;B9808</f>
        <v xml:space="preserve"> кв. 425</v>
      </c>
      <c r="D9808" s="5" t="str">
        <f>CONCATENATE(A9808,C9808)</f>
        <v>Прибрежный пр., дом 7 кв. 425</v>
      </c>
      <c r="E9808" s="3">
        <f>HYPERLINK("https://sao.dolgi.msk.ru/account/1404276534/", 1404276534)</f>
        <v>1404276534</v>
      </c>
      <c r="F9808">
        <v>2014.83</v>
      </c>
    </row>
    <row r="9809" spans="1:6" hidden="1" x14ac:dyDescent="0.25">
      <c r="A9809" t="s">
        <v>694</v>
      </c>
      <c r="B9809" t="s">
        <v>444</v>
      </c>
      <c r="E9809" s="3">
        <f>HYPERLINK("https://sao.dolgi.msk.ru/account/1404276542/", 1404276542)</f>
        <v>1404276542</v>
      </c>
      <c r="F9809">
        <v>-2149.27</v>
      </c>
    </row>
    <row r="9810" spans="1:6" hidden="1" x14ac:dyDescent="0.25">
      <c r="A9810" t="s">
        <v>694</v>
      </c>
      <c r="B9810" t="s">
        <v>445</v>
      </c>
      <c r="E9810" s="3">
        <f>HYPERLINK("https://sao.dolgi.msk.ru/account/1404277406/", 1404277406)</f>
        <v>1404277406</v>
      </c>
      <c r="F9810">
        <v>-737.22</v>
      </c>
    </row>
    <row r="9811" spans="1:6" hidden="1" x14ac:dyDescent="0.25">
      <c r="A9811" t="s">
        <v>694</v>
      </c>
      <c r="B9811" t="s">
        <v>446</v>
      </c>
      <c r="E9811" s="3">
        <f>HYPERLINK("https://sao.dolgi.msk.ru/account/1404278222/", 1404278222)</f>
        <v>1404278222</v>
      </c>
      <c r="F9811">
        <v>-2047.57</v>
      </c>
    </row>
    <row r="9812" spans="1:6" hidden="1" x14ac:dyDescent="0.25">
      <c r="A9812" t="s">
        <v>694</v>
      </c>
      <c r="B9812" t="s">
        <v>447</v>
      </c>
      <c r="E9812" s="3">
        <f>HYPERLINK("https://sao.dolgi.msk.ru/account/1404277414/", 1404277414)</f>
        <v>1404277414</v>
      </c>
      <c r="F9812">
        <v>-2930.38</v>
      </c>
    </row>
    <row r="9813" spans="1:6" hidden="1" x14ac:dyDescent="0.25">
      <c r="A9813" t="s">
        <v>694</v>
      </c>
      <c r="B9813" t="s">
        <v>448</v>
      </c>
      <c r="E9813" s="3">
        <f>HYPERLINK("https://sao.dolgi.msk.ru/account/1404277422/", 1404277422)</f>
        <v>1404277422</v>
      </c>
      <c r="F9813">
        <v>-1639.07</v>
      </c>
    </row>
    <row r="9814" spans="1:6" hidden="1" x14ac:dyDescent="0.25">
      <c r="A9814" t="s">
        <v>694</v>
      </c>
      <c r="B9814" t="s">
        <v>449</v>
      </c>
      <c r="E9814" s="3">
        <f>HYPERLINK("https://sao.dolgi.msk.ru/account/1404273536/", 1404273536)</f>
        <v>1404273536</v>
      </c>
      <c r="F9814">
        <v>-1286.1300000000001</v>
      </c>
    </row>
    <row r="9815" spans="1:6" hidden="1" x14ac:dyDescent="0.25">
      <c r="A9815" t="s">
        <v>694</v>
      </c>
      <c r="B9815" t="s">
        <v>450</v>
      </c>
      <c r="E9815" s="3">
        <f>HYPERLINK("https://sao.dolgi.msk.ru/account/1404275777/", 1404275777)</f>
        <v>1404275777</v>
      </c>
      <c r="F9815">
        <v>-1816.2</v>
      </c>
    </row>
    <row r="9816" spans="1:6" hidden="1" x14ac:dyDescent="0.25">
      <c r="A9816" t="s">
        <v>694</v>
      </c>
      <c r="B9816" t="s">
        <v>451</v>
      </c>
      <c r="E9816" s="3">
        <f>HYPERLINK("https://sao.dolgi.msk.ru/account/1404277481/", 1404277481)</f>
        <v>1404277481</v>
      </c>
      <c r="F9816">
        <v>-644.16</v>
      </c>
    </row>
    <row r="9817" spans="1:6" x14ac:dyDescent="0.25">
      <c r="A9817" t="s">
        <v>694</v>
      </c>
      <c r="B9817" t="s">
        <v>451</v>
      </c>
      <c r="C9817" s="5" t="str">
        <f t="shared" ref="C9817:C9818" si="435">" кв. "&amp;B9817</f>
        <v xml:space="preserve"> кв. 433</v>
      </c>
      <c r="D9817" s="5" t="str">
        <f>CONCATENATE(A9817,C9817)</f>
        <v>Прибрежный пр., дом 7 кв. 433</v>
      </c>
      <c r="E9817" s="3">
        <f>HYPERLINK("https://sao.dolgi.msk.ru/account/1404278281/", 1404278281)</f>
        <v>1404278281</v>
      </c>
      <c r="F9817">
        <v>491.6</v>
      </c>
    </row>
    <row r="9818" spans="1:6" x14ac:dyDescent="0.25">
      <c r="A9818" t="s">
        <v>694</v>
      </c>
      <c r="B9818" t="s">
        <v>452</v>
      </c>
      <c r="C9818" s="5" t="str">
        <f t="shared" si="435"/>
        <v xml:space="preserve"> кв. 434</v>
      </c>
      <c r="D9818" s="5" t="str">
        <f>CONCATENATE(A9818,C9818)</f>
        <v>Прибрежный пр., дом 7 кв. 434</v>
      </c>
      <c r="E9818" s="3">
        <f>HYPERLINK("https://sao.dolgi.msk.ru/account/1404278898/", 1404278898)</f>
        <v>1404278898</v>
      </c>
      <c r="F9818">
        <v>997.92</v>
      </c>
    </row>
    <row r="9819" spans="1:6" hidden="1" x14ac:dyDescent="0.25">
      <c r="A9819" t="s">
        <v>694</v>
      </c>
      <c r="B9819" t="s">
        <v>453</v>
      </c>
      <c r="E9819" s="3">
        <f>HYPERLINK("https://sao.dolgi.msk.ru/account/1404278919/", 1404278919)</f>
        <v>1404278919</v>
      </c>
      <c r="F9819">
        <v>-1469.81</v>
      </c>
    </row>
    <row r="9820" spans="1:6" x14ac:dyDescent="0.25">
      <c r="A9820" t="s">
        <v>694</v>
      </c>
      <c r="B9820" t="s">
        <v>454</v>
      </c>
      <c r="C9820" s="5" t="str">
        <f>" кв. "&amp;B9820</f>
        <v xml:space="preserve"> кв. 436</v>
      </c>
      <c r="D9820" s="5" t="str">
        <f>CONCATENATE(A9820,C9820)</f>
        <v>Прибрежный пр., дом 7 кв. 436</v>
      </c>
      <c r="E9820" s="3">
        <f>HYPERLINK("https://sao.dolgi.msk.ru/account/1404273608/", 1404273608)</f>
        <v>1404273608</v>
      </c>
      <c r="F9820">
        <v>1388.56</v>
      </c>
    </row>
    <row r="9821" spans="1:6" hidden="1" x14ac:dyDescent="0.25">
      <c r="A9821" t="s">
        <v>694</v>
      </c>
      <c r="B9821" t="s">
        <v>455</v>
      </c>
      <c r="E9821" s="3">
        <f>HYPERLINK("https://sao.dolgi.msk.ru/account/1404277502/", 1404277502)</f>
        <v>1404277502</v>
      </c>
      <c r="F9821">
        <v>-2884.17</v>
      </c>
    </row>
    <row r="9822" spans="1:6" hidden="1" x14ac:dyDescent="0.25">
      <c r="A9822" t="s">
        <v>694</v>
      </c>
      <c r="B9822" t="s">
        <v>456</v>
      </c>
      <c r="E9822" s="3">
        <f>HYPERLINK("https://sao.dolgi.msk.ru/account/1404276614/", 1404276614)</f>
        <v>1404276614</v>
      </c>
      <c r="F9822">
        <v>-1458.26</v>
      </c>
    </row>
    <row r="9823" spans="1:6" hidden="1" x14ac:dyDescent="0.25">
      <c r="A9823" t="s">
        <v>694</v>
      </c>
      <c r="B9823" t="s">
        <v>457</v>
      </c>
      <c r="E9823" s="3">
        <f>HYPERLINK("https://sao.dolgi.msk.ru/account/1404275064/", 1404275064)</f>
        <v>1404275064</v>
      </c>
      <c r="F9823">
        <v>-1474.44</v>
      </c>
    </row>
    <row r="9824" spans="1:6" hidden="1" x14ac:dyDescent="0.25">
      <c r="A9824" t="s">
        <v>694</v>
      </c>
      <c r="B9824" t="s">
        <v>458</v>
      </c>
      <c r="E9824" s="3">
        <f>HYPERLINK("https://sao.dolgi.msk.ru/account/1404273616/", 1404273616)</f>
        <v>1404273616</v>
      </c>
      <c r="F9824">
        <v>-2033.7</v>
      </c>
    </row>
    <row r="9825" spans="1:6" x14ac:dyDescent="0.25">
      <c r="A9825" t="s">
        <v>694</v>
      </c>
      <c r="B9825" t="s">
        <v>459</v>
      </c>
      <c r="C9825" s="5" t="str">
        <f>" кв. "&amp;B9825</f>
        <v xml:space="preserve"> кв. 441</v>
      </c>
      <c r="D9825" s="5" t="str">
        <f>CONCATENATE(A9825,C9825)</f>
        <v>Прибрежный пр., дом 7 кв. 441</v>
      </c>
      <c r="E9825" s="3">
        <f>HYPERLINK("https://sao.dolgi.msk.ru/account/1404273624/", 1404273624)</f>
        <v>1404273624</v>
      </c>
      <c r="F9825">
        <v>1967.39</v>
      </c>
    </row>
    <row r="9826" spans="1:6" hidden="1" x14ac:dyDescent="0.25">
      <c r="A9826" t="s">
        <v>694</v>
      </c>
      <c r="B9826" t="s">
        <v>460</v>
      </c>
      <c r="E9826" s="3">
        <f>HYPERLINK("https://sao.dolgi.msk.ru/account/1404275072/", 1404275072)</f>
        <v>1404275072</v>
      </c>
      <c r="F9826">
        <v>-2916.53</v>
      </c>
    </row>
    <row r="9827" spans="1:6" x14ac:dyDescent="0.25">
      <c r="A9827" t="s">
        <v>694</v>
      </c>
      <c r="B9827" t="s">
        <v>461</v>
      </c>
      <c r="C9827" s="5" t="str">
        <f t="shared" ref="C9827:C9828" si="436">" кв. "&amp;B9827</f>
        <v xml:space="preserve"> кв. 443</v>
      </c>
      <c r="D9827" s="5" t="str">
        <f>CONCATENATE(A9827,C9827)</f>
        <v>Прибрежный пр., дом 7 кв. 443</v>
      </c>
      <c r="E9827" s="3">
        <f>HYPERLINK("https://sao.dolgi.msk.ru/account/1404277844/", 1404277844)</f>
        <v>1404277844</v>
      </c>
      <c r="F9827">
        <v>1002.67</v>
      </c>
    </row>
    <row r="9828" spans="1:6" x14ac:dyDescent="0.25">
      <c r="A9828" t="s">
        <v>694</v>
      </c>
      <c r="B9828" t="s">
        <v>462</v>
      </c>
      <c r="C9828" s="5" t="str">
        <f t="shared" si="436"/>
        <v xml:space="preserve"> кв. 444</v>
      </c>
      <c r="D9828" s="5" t="str">
        <f>CONCATENATE(A9828,C9828)</f>
        <v>Прибрежный пр., дом 7 кв. 444</v>
      </c>
      <c r="E9828" s="3">
        <f>HYPERLINK("https://sao.dolgi.msk.ru/account/1404274045/", 1404274045)</f>
        <v>1404274045</v>
      </c>
      <c r="F9828">
        <v>1398.05</v>
      </c>
    </row>
    <row r="9829" spans="1:6" hidden="1" x14ac:dyDescent="0.25">
      <c r="A9829" t="s">
        <v>694</v>
      </c>
      <c r="B9829" t="s">
        <v>463</v>
      </c>
      <c r="E9829" s="3">
        <f>HYPERLINK("https://sao.dolgi.msk.ru/account/1404274053/", 1404274053)</f>
        <v>1404274053</v>
      </c>
      <c r="F9829">
        <v>-2874.93</v>
      </c>
    </row>
    <row r="9830" spans="1:6" hidden="1" x14ac:dyDescent="0.25">
      <c r="A9830" t="s">
        <v>694</v>
      </c>
      <c r="B9830" t="s">
        <v>464</v>
      </c>
      <c r="E9830" s="3">
        <f>HYPERLINK("https://sao.dolgi.msk.ru/account/1404276155/", 1404276155)</f>
        <v>1404276155</v>
      </c>
      <c r="F9830">
        <v>-2911.91</v>
      </c>
    </row>
    <row r="9831" spans="1:6" hidden="1" x14ac:dyDescent="0.25">
      <c r="A9831" t="s">
        <v>694</v>
      </c>
      <c r="B9831" t="s">
        <v>465</v>
      </c>
      <c r="E9831" s="3">
        <f>HYPERLINK("https://sao.dolgi.msk.ru/account/1404279305/", 1404279305)</f>
        <v>1404279305</v>
      </c>
      <c r="F9831">
        <v>-1237.81</v>
      </c>
    </row>
    <row r="9832" spans="1:6" hidden="1" x14ac:dyDescent="0.25">
      <c r="A9832" t="s">
        <v>694</v>
      </c>
      <c r="B9832" t="s">
        <v>466</v>
      </c>
      <c r="E9832" s="3">
        <f>HYPERLINK("https://sao.dolgi.msk.ru/account/1404275363/", 1404275363)</f>
        <v>1404275363</v>
      </c>
      <c r="F9832">
        <v>-1294.18</v>
      </c>
    </row>
    <row r="9833" spans="1:6" hidden="1" x14ac:dyDescent="0.25">
      <c r="A9833" t="s">
        <v>694</v>
      </c>
      <c r="B9833" t="s">
        <v>467</v>
      </c>
      <c r="E9833" s="3">
        <f>HYPERLINK("https://sao.dolgi.msk.ru/account/1404278521/", 1404278521)</f>
        <v>1404278521</v>
      </c>
      <c r="F9833">
        <v>-2902.66</v>
      </c>
    </row>
    <row r="9834" spans="1:6" hidden="1" x14ac:dyDescent="0.25">
      <c r="A9834" t="s">
        <v>694</v>
      </c>
      <c r="B9834" t="s">
        <v>468</v>
      </c>
      <c r="E9834" s="3">
        <f>HYPERLINK("https://sao.dolgi.msk.ru/account/1404278548/", 1404278548)</f>
        <v>1404278548</v>
      </c>
      <c r="F9834">
        <v>-2935.01</v>
      </c>
    </row>
    <row r="9835" spans="1:6" x14ac:dyDescent="0.25">
      <c r="A9835" t="s">
        <v>694</v>
      </c>
      <c r="B9835" t="s">
        <v>469</v>
      </c>
      <c r="C9835" s="5" t="str">
        <f t="shared" ref="C9835:C9836" si="437">" кв. "&amp;B9835</f>
        <v xml:space="preserve"> кв. 451</v>
      </c>
      <c r="D9835" s="5" t="str">
        <f>CONCATENATE(A9835,C9835)</f>
        <v>Прибрежный пр., дом 7 кв. 451</v>
      </c>
      <c r="E9835" s="3">
        <f>HYPERLINK("https://sao.dolgi.msk.ru/account/1404276999/", 1404276999)</f>
        <v>1404276999</v>
      </c>
      <c r="F9835">
        <v>1005.83</v>
      </c>
    </row>
    <row r="9836" spans="1:6" x14ac:dyDescent="0.25">
      <c r="A9836" t="s">
        <v>694</v>
      </c>
      <c r="B9836" t="s">
        <v>470</v>
      </c>
      <c r="C9836" s="5" t="str">
        <f t="shared" si="437"/>
        <v xml:space="preserve"> кв. 452</v>
      </c>
      <c r="D9836" s="5" t="str">
        <f>CONCATENATE(A9836,C9836)</f>
        <v>Прибрежный пр., дом 7 кв. 452</v>
      </c>
      <c r="E9836" s="3">
        <f>HYPERLINK("https://sao.dolgi.msk.ru/account/1404279313/", 1404279313)</f>
        <v>1404279313</v>
      </c>
      <c r="F9836">
        <v>740.14</v>
      </c>
    </row>
    <row r="9837" spans="1:6" hidden="1" x14ac:dyDescent="0.25">
      <c r="A9837" t="s">
        <v>694</v>
      </c>
      <c r="B9837" t="s">
        <v>471</v>
      </c>
      <c r="E9837" s="3">
        <f>HYPERLINK("https://sao.dolgi.msk.ru/account/1404277852/", 1404277852)</f>
        <v>1404277852</v>
      </c>
      <c r="F9837">
        <v>-911.92</v>
      </c>
    </row>
    <row r="9838" spans="1:6" hidden="1" x14ac:dyDescent="0.25">
      <c r="A9838" t="s">
        <v>694</v>
      </c>
      <c r="B9838" t="s">
        <v>472</v>
      </c>
      <c r="E9838" s="3">
        <f>HYPERLINK("https://sao.dolgi.msk.ru/account/1404278556/", 1404278556)</f>
        <v>1404278556</v>
      </c>
      <c r="F9838">
        <v>-2925.78</v>
      </c>
    </row>
    <row r="9839" spans="1:6" hidden="1" x14ac:dyDescent="0.25">
      <c r="A9839" t="s">
        <v>694</v>
      </c>
      <c r="B9839" t="s">
        <v>473</v>
      </c>
      <c r="E9839" s="3">
        <f>HYPERLINK("https://sao.dolgi.msk.ru/account/1404278564/", 1404278564)</f>
        <v>1404278564</v>
      </c>
      <c r="F9839">
        <v>0</v>
      </c>
    </row>
    <row r="9840" spans="1:6" x14ac:dyDescent="0.25">
      <c r="A9840" t="s">
        <v>694</v>
      </c>
      <c r="B9840" t="s">
        <v>474</v>
      </c>
      <c r="C9840" s="5" t="str">
        <f>" кв. "&amp;B9840</f>
        <v xml:space="preserve"> кв. 456</v>
      </c>
      <c r="D9840" s="5" t="str">
        <f>CONCATENATE(A9840,C9840)</f>
        <v>Прибрежный пр., дом 7 кв. 456</v>
      </c>
      <c r="E9840" s="3">
        <f>HYPERLINK("https://sao.dolgi.msk.ru/account/1404274635/", 1404274635)</f>
        <v>1404274635</v>
      </c>
      <c r="F9840">
        <v>863.49</v>
      </c>
    </row>
    <row r="9841" spans="1:6" hidden="1" x14ac:dyDescent="0.25">
      <c r="A9841" t="s">
        <v>694</v>
      </c>
      <c r="B9841" t="s">
        <v>475</v>
      </c>
      <c r="E9841" s="3">
        <f>HYPERLINK("https://sao.dolgi.msk.ru/account/1404277836/", 1404277836)</f>
        <v>1404277836</v>
      </c>
      <c r="F9841">
        <v>-2884.17</v>
      </c>
    </row>
    <row r="9842" spans="1:6" x14ac:dyDescent="0.25">
      <c r="A9842" t="s">
        <v>694</v>
      </c>
      <c r="B9842" t="s">
        <v>476</v>
      </c>
      <c r="C9842" s="5" t="str">
        <f>" кв. "&amp;B9842</f>
        <v xml:space="preserve"> кв. 458</v>
      </c>
      <c r="D9842" s="5" t="str">
        <f>CONCATENATE(A9842,C9842)</f>
        <v>Прибрежный пр., дом 7 кв. 458</v>
      </c>
      <c r="E9842" s="3">
        <f>HYPERLINK("https://sao.dolgi.msk.ru/account/1404276809/", 1404276809)</f>
        <v>1404276809</v>
      </c>
      <c r="F9842">
        <v>2011.67</v>
      </c>
    </row>
    <row r="9843" spans="1:6" hidden="1" x14ac:dyDescent="0.25">
      <c r="A9843" t="s">
        <v>694</v>
      </c>
      <c r="B9843" t="s">
        <v>477</v>
      </c>
      <c r="E9843" s="3">
        <f>HYPERLINK("https://sao.dolgi.msk.ru/account/1404277617/", 1404277617)</f>
        <v>1404277617</v>
      </c>
      <c r="F9843">
        <v>-462.52</v>
      </c>
    </row>
    <row r="9844" spans="1:6" hidden="1" x14ac:dyDescent="0.25">
      <c r="A9844" t="s">
        <v>694</v>
      </c>
      <c r="B9844" t="s">
        <v>478</v>
      </c>
      <c r="E9844" s="3">
        <f>HYPERLINK("https://sao.dolgi.msk.ru/account/1404276016/", 1404276016)</f>
        <v>1404276016</v>
      </c>
      <c r="F9844">
        <v>-1064.04</v>
      </c>
    </row>
    <row r="9845" spans="1:6" hidden="1" x14ac:dyDescent="0.25">
      <c r="A9845" t="s">
        <v>694</v>
      </c>
      <c r="B9845" t="s">
        <v>479</v>
      </c>
      <c r="E9845" s="3">
        <f>HYPERLINK("https://sao.dolgi.msk.ru/account/1404275216/", 1404275216)</f>
        <v>1404275216</v>
      </c>
      <c r="F9845">
        <v>-983.75</v>
      </c>
    </row>
    <row r="9846" spans="1:6" hidden="1" x14ac:dyDescent="0.25">
      <c r="A9846" t="s">
        <v>694</v>
      </c>
      <c r="B9846" t="s">
        <v>479</v>
      </c>
      <c r="E9846" s="3">
        <f>HYPERLINK("https://sao.dolgi.msk.ru/account/1404276817/", 1404276817)</f>
        <v>1404276817</v>
      </c>
      <c r="F9846">
        <v>-1147.01</v>
      </c>
    </row>
    <row r="9847" spans="1:6" x14ac:dyDescent="0.25">
      <c r="A9847" t="s">
        <v>694</v>
      </c>
      <c r="B9847" t="s">
        <v>480</v>
      </c>
      <c r="C9847" s="5" t="str">
        <f>" кв. "&amp;B9847</f>
        <v xml:space="preserve"> кв. 462</v>
      </c>
      <c r="D9847" s="5" t="str">
        <f>CONCATENATE(A9847,C9847)</f>
        <v>Прибрежный пр., дом 7 кв. 462</v>
      </c>
      <c r="E9847" s="3">
        <f>HYPERLINK("https://sao.dolgi.msk.ru/account/1404274504/", 1404274504)</f>
        <v>1404274504</v>
      </c>
      <c r="F9847">
        <v>1999.02</v>
      </c>
    </row>
    <row r="9848" spans="1:6" hidden="1" x14ac:dyDescent="0.25">
      <c r="A9848" t="s">
        <v>694</v>
      </c>
      <c r="B9848" t="s">
        <v>481</v>
      </c>
      <c r="E9848" s="3">
        <f>HYPERLINK("https://sao.dolgi.msk.ru/account/1404275224/", 1404275224)</f>
        <v>1404275224</v>
      </c>
      <c r="F9848">
        <v>-1492.93</v>
      </c>
    </row>
    <row r="9849" spans="1:6" hidden="1" x14ac:dyDescent="0.25">
      <c r="A9849" t="s">
        <v>694</v>
      </c>
      <c r="B9849" t="s">
        <v>482</v>
      </c>
      <c r="E9849" s="3">
        <f>HYPERLINK("https://sao.dolgi.msk.ru/account/1404278425/", 1404278425)</f>
        <v>1404278425</v>
      </c>
      <c r="F9849">
        <v>-1303.42</v>
      </c>
    </row>
    <row r="9850" spans="1:6" hidden="1" x14ac:dyDescent="0.25">
      <c r="A9850" t="s">
        <v>694</v>
      </c>
      <c r="B9850" t="s">
        <v>483</v>
      </c>
      <c r="E9850" s="3">
        <f>HYPERLINK("https://sao.dolgi.msk.ru/account/1404278433/", 1404278433)</f>
        <v>1404278433</v>
      </c>
      <c r="F9850">
        <v>-2911.91</v>
      </c>
    </row>
    <row r="9851" spans="1:6" hidden="1" x14ac:dyDescent="0.25">
      <c r="A9851" t="s">
        <v>694</v>
      </c>
      <c r="B9851" t="s">
        <v>484</v>
      </c>
      <c r="E9851" s="3">
        <f>HYPERLINK("https://sao.dolgi.msk.ru/account/1404273827/", 1404273827)</f>
        <v>1404273827</v>
      </c>
      <c r="F9851">
        <v>0</v>
      </c>
    </row>
    <row r="9852" spans="1:6" hidden="1" x14ac:dyDescent="0.25">
      <c r="A9852" t="s">
        <v>694</v>
      </c>
      <c r="B9852" t="s">
        <v>485</v>
      </c>
      <c r="E9852" s="3">
        <f>HYPERLINK("https://sao.dolgi.msk.ru/account/1404277625/", 1404277625)</f>
        <v>1404277625</v>
      </c>
      <c r="F9852">
        <v>-1465.19</v>
      </c>
    </row>
    <row r="9853" spans="1:6" x14ac:dyDescent="0.25">
      <c r="A9853" t="s">
        <v>694</v>
      </c>
      <c r="B9853" t="s">
        <v>486</v>
      </c>
      <c r="C9853" s="5" t="str">
        <f>" кв. "&amp;B9853</f>
        <v xml:space="preserve"> кв. 468</v>
      </c>
      <c r="D9853" s="5" t="str">
        <f>CONCATENATE(A9853,C9853)</f>
        <v>Прибрежный пр., дом 7 кв. 468</v>
      </c>
      <c r="E9853" s="3">
        <f>HYPERLINK("https://sao.dolgi.msk.ru/account/1404273835/", 1404273835)</f>
        <v>1404273835</v>
      </c>
      <c r="F9853">
        <v>1404.37</v>
      </c>
    </row>
    <row r="9854" spans="1:6" hidden="1" x14ac:dyDescent="0.25">
      <c r="A9854" t="s">
        <v>694</v>
      </c>
      <c r="B9854" t="s">
        <v>487</v>
      </c>
      <c r="E9854" s="3">
        <f>HYPERLINK("https://sao.dolgi.msk.ru/account/1404275857/", 1404275857)</f>
        <v>1404275857</v>
      </c>
      <c r="F9854">
        <v>-2135.4</v>
      </c>
    </row>
    <row r="9855" spans="1:6" hidden="1" x14ac:dyDescent="0.25">
      <c r="A9855" t="s">
        <v>694</v>
      </c>
      <c r="B9855" t="s">
        <v>488</v>
      </c>
      <c r="E9855" s="3">
        <f>HYPERLINK("https://sao.dolgi.msk.ru/account/1404275865/", 1404275865)</f>
        <v>1404275865</v>
      </c>
      <c r="F9855">
        <v>-2703.39</v>
      </c>
    </row>
    <row r="9856" spans="1:6" hidden="1" x14ac:dyDescent="0.25">
      <c r="A9856" t="s">
        <v>694</v>
      </c>
      <c r="B9856" t="s">
        <v>489</v>
      </c>
      <c r="E9856" s="3">
        <f>HYPERLINK("https://sao.dolgi.msk.ru/account/1404276665/", 1404276665)</f>
        <v>1404276665</v>
      </c>
      <c r="F9856">
        <v>0</v>
      </c>
    </row>
    <row r="9857" spans="1:6" hidden="1" x14ac:dyDescent="0.25">
      <c r="A9857" t="s">
        <v>694</v>
      </c>
      <c r="B9857" t="s">
        <v>490</v>
      </c>
      <c r="E9857" s="3">
        <f>HYPERLINK("https://sao.dolgi.msk.ru/account/1404277561/", 1404277561)</f>
        <v>1404277561</v>
      </c>
      <c r="F9857">
        <v>-1280.31</v>
      </c>
    </row>
    <row r="9858" spans="1:6" x14ac:dyDescent="0.25">
      <c r="A9858" t="s">
        <v>694</v>
      </c>
      <c r="B9858" t="s">
        <v>491</v>
      </c>
      <c r="C9858" s="5" t="str">
        <f>" кв. "&amp;B9858</f>
        <v xml:space="preserve"> кв. 473</v>
      </c>
      <c r="D9858" s="5" t="str">
        <f>CONCATENATE(A9858,C9858)</f>
        <v>Прибрежный пр., дом 7 кв. 473</v>
      </c>
      <c r="E9858" s="3">
        <f>HYPERLINK("https://sao.dolgi.msk.ru/account/1404274766/", 1404274766)</f>
        <v>1404274766</v>
      </c>
      <c r="F9858">
        <v>589.9</v>
      </c>
    </row>
    <row r="9859" spans="1:6" hidden="1" x14ac:dyDescent="0.25">
      <c r="A9859" t="s">
        <v>694</v>
      </c>
      <c r="B9859" t="s">
        <v>491</v>
      </c>
      <c r="E9859" s="3">
        <f>HYPERLINK("https://sao.dolgi.msk.ru/account/1404275873/", 1404275873)</f>
        <v>1404275873</v>
      </c>
      <c r="F9859">
        <v>-968.92</v>
      </c>
    </row>
    <row r="9860" spans="1:6" hidden="1" x14ac:dyDescent="0.25">
      <c r="A9860" t="s">
        <v>694</v>
      </c>
      <c r="B9860" t="s">
        <v>491</v>
      </c>
      <c r="E9860" s="3">
        <f>HYPERLINK("https://sao.dolgi.msk.ru/account/1404278951/", 1404278951)</f>
        <v>1404278951</v>
      </c>
      <c r="F9860">
        <v>-894.78</v>
      </c>
    </row>
    <row r="9861" spans="1:6" hidden="1" x14ac:dyDescent="0.25">
      <c r="A9861" t="s">
        <v>694</v>
      </c>
      <c r="B9861" t="s">
        <v>492</v>
      </c>
      <c r="E9861" s="3">
        <f>HYPERLINK("https://sao.dolgi.msk.ru/account/1404273667/", 1404273667)</f>
        <v>1404273667</v>
      </c>
      <c r="F9861">
        <v>-2907.29</v>
      </c>
    </row>
    <row r="9862" spans="1:6" hidden="1" x14ac:dyDescent="0.25">
      <c r="A9862" t="s">
        <v>694</v>
      </c>
      <c r="B9862" t="s">
        <v>493</v>
      </c>
      <c r="E9862" s="3">
        <f>HYPERLINK("https://sao.dolgi.msk.ru/account/1404275881/", 1404275881)</f>
        <v>1404275881</v>
      </c>
      <c r="F9862">
        <v>-1233.93</v>
      </c>
    </row>
    <row r="9863" spans="1:6" hidden="1" x14ac:dyDescent="0.25">
      <c r="A9863" t="s">
        <v>694</v>
      </c>
      <c r="B9863" t="s">
        <v>494</v>
      </c>
      <c r="E9863" s="3">
        <f>HYPERLINK("https://sao.dolgi.msk.ru/account/1404278978/", 1404278978)</f>
        <v>1404278978</v>
      </c>
      <c r="F9863">
        <v>-2061.44</v>
      </c>
    </row>
    <row r="9864" spans="1:6" hidden="1" x14ac:dyDescent="0.25">
      <c r="A9864" t="s">
        <v>694</v>
      </c>
      <c r="B9864" t="s">
        <v>495</v>
      </c>
      <c r="E9864" s="3">
        <f>HYPERLINK("https://sao.dolgi.msk.ru/account/1404277473/", 1404277473)</f>
        <v>1404277473</v>
      </c>
      <c r="F9864">
        <v>-2888.8</v>
      </c>
    </row>
    <row r="9865" spans="1:6" hidden="1" x14ac:dyDescent="0.25">
      <c r="A9865" t="s">
        <v>696</v>
      </c>
      <c r="B9865" t="s">
        <v>5</v>
      </c>
      <c r="E9865" s="3">
        <f>HYPERLINK("https://sao.dolgi.msk.ru/account/1404125824/", 1404125824)</f>
        <v>1404125824</v>
      </c>
      <c r="F9865">
        <v>-2381.4299999999998</v>
      </c>
    </row>
    <row r="9866" spans="1:6" hidden="1" x14ac:dyDescent="0.25">
      <c r="A9866" t="s">
        <v>696</v>
      </c>
      <c r="B9866" t="s">
        <v>6</v>
      </c>
      <c r="E9866" s="3">
        <f>HYPERLINK("https://sao.dolgi.msk.ru/account/1404125752/", 1404125752)</f>
        <v>1404125752</v>
      </c>
      <c r="F9866">
        <v>-3582.85</v>
      </c>
    </row>
    <row r="9867" spans="1:6" hidden="1" x14ac:dyDescent="0.25">
      <c r="A9867" t="s">
        <v>696</v>
      </c>
      <c r="B9867" t="s">
        <v>7</v>
      </c>
      <c r="E9867" s="3">
        <f>HYPERLINK("https://sao.dolgi.msk.ru/account/1404125867/", 1404125867)</f>
        <v>1404125867</v>
      </c>
      <c r="F9867">
        <v>-2407.52</v>
      </c>
    </row>
    <row r="9868" spans="1:6" hidden="1" x14ac:dyDescent="0.25">
      <c r="A9868" t="s">
        <v>696</v>
      </c>
      <c r="B9868" t="s">
        <v>8</v>
      </c>
      <c r="E9868" s="3">
        <f>HYPERLINK("https://sao.dolgi.msk.ru/account/1404140071/", 1404140071)</f>
        <v>1404140071</v>
      </c>
      <c r="F9868">
        <v>-3517.97</v>
      </c>
    </row>
    <row r="9869" spans="1:6" hidden="1" x14ac:dyDescent="0.25">
      <c r="A9869" t="s">
        <v>696</v>
      </c>
      <c r="B9869" t="s">
        <v>12</v>
      </c>
      <c r="E9869" s="3">
        <f>HYPERLINK("https://sao.dolgi.msk.ru/account/1404125381/", 1404125381)</f>
        <v>1404125381</v>
      </c>
      <c r="F9869">
        <v>-3057.05</v>
      </c>
    </row>
    <row r="9870" spans="1:6" hidden="1" x14ac:dyDescent="0.25">
      <c r="A9870" t="s">
        <v>696</v>
      </c>
      <c r="B9870" t="s">
        <v>13</v>
      </c>
      <c r="E9870" s="3">
        <f>HYPERLINK("https://sao.dolgi.msk.ru/account/1404125744/", 1404125744)</f>
        <v>1404125744</v>
      </c>
      <c r="F9870">
        <v>0</v>
      </c>
    </row>
    <row r="9871" spans="1:6" hidden="1" x14ac:dyDescent="0.25">
      <c r="A9871" t="s">
        <v>696</v>
      </c>
      <c r="B9871" t="s">
        <v>14</v>
      </c>
      <c r="E9871" s="3">
        <f>HYPERLINK("https://sao.dolgi.msk.ru/account/1404125939/", 1404125939)</f>
        <v>1404125939</v>
      </c>
      <c r="F9871">
        <v>-3832.81</v>
      </c>
    </row>
    <row r="9872" spans="1:6" hidden="1" x14ac:dyDescent="0.25">
      <c r="A9872" t="s">
        <v>696</v>
      </c>
      <c r="B9872" t="s">
        <v>15</v>
      </c>
      <c r="E9872" s="3">
        <f>HYPERLINK("https://sao.dolgi.msk.ru/account/1404125947/", 1404125947)</f>
        <v>1404125947</v>
      </c>
      <c r="F9872">
        <v>-2815.38</v>
      </c>
    </row>
    <row r="9873" spans="1:6" hidden="1" x14ac:dyDescent="0.25">
      <c r="A9873" t="s">
        <v>696</v>
      </c>
      <c r="B9873" t="s">
        <v>16</v>
      </c>
      <c r="E9873" s="3">
        <f>HYPERLINK("https://sao.dolgi.msk.ru/account/1404125197/", 1404125197)</f>
        <v>1404125197</v>
      </c>
      <c r="F9873">
        <v>0</v>
      </c>
    </row>
    <row r="9874" spans="1:6" hidden="1" x14ac:dyDescent="0.25">
      <c r="A9874" t="s">
        <v>696</v>
      </c>
      <c r="B9874" t="s">
        <v>17</v>
      </c>
      <c r="E9874" s="3">
        <f>HYPERLINK("https://sao.dolgi.msk.ru/account/1404125402/", 1404125402)</f>
        <v>1404125402</v>
      </c>
      <c r="F9874">
        <v>-2624.51</v>
      </c>
    </row>
    <row r="9875" spans="1:6" hidden="1" x14ac:dyDescent="0.25">
      <c r="A9875" t="s">
        <v>696</v>
      </c>
      <c r="B9875" t="s">
        <v>18</v>
      </c>
      <c r="E9875" s="3">
        <f>HYPERLINK("https://sao.dolgi.msk.ru/account/1404125218/", 1404125218)</f>
        <v>1404125218</v>
      </c>
      <c r="F9875">
        <v>-3366.91</v>
      </c>
    </row>
    <row r="9876" spans="1:6" hidden="1" x14ac:dyDescent="0.25">
      <c r="A9876" t="s">
        <v>696</v>
      </c>
      <c r="B9876" t="s">
        <v>19</v>
      </c>
      <c r="E9876" s="3">
        <f>HYPERLINK("https://sao.dolgi.msk.ru/account/1404125955/", 1404125955)</f>
        <v>1404125955</v>
      </c>
      <c r="F9876">
        <v>0</v>
      </c>
    </row>
    <row r="9877" spans="1:6" x14ac:dyDescent="0.25">
      <c r="A9877" t="s">
        <v>696</v>
      </c>
      <c r="B9877" t="s">
        <v>20</v>
      </c>
      <c r="C9877" s="5" t="str">
        <f>" кв. "&amp;B9877</f>
        <v xml:space="preserve"> кв. 16</v>
      </c>
      <c r="D9877" s="5" t="str">
        <f>CONCATENATE(A9877,C9877)</f>
        <v>Смольная ул., дом 39 кв. 16</v>
      </c>
      <c r="E9877" s="3">
        <f>HYPERLINK("https://sao.dolgi.msk.ru/account/1404125832/", 1404125832)</f>
        <v>1404125832</v>
      </c>
      <c r="F9877">
        <v>5787.54</v>
      </c>
    </row>
    <row r="9878" spans="1:6" hidden="1" x14ac:dyDescent="0.25">
      <c r="A9878" t="s">
        <v>696</v>
      </c>
      <c r="B9878" t="s">
        <v>21</v>
      </c>
      <c r="E9878" s="3">
        <f>HYPERLINK("https://sao.dolgi.msk.ru/account/1404125429/", 1404125429)</f>
        <v>1404125429</v>
      </c>
      <c r="F9878">
        <v>-8582.2999999999993</v>
      </c>
    </row>
    <row r="9879" spans="1:6" hidden="1" x14ac:dyDescent="0.25">
      <c r="A9879" t="s">
        <v>696</v>
      </c>
      <c r="B9879" t="s">
        <v>22</v>
      </c>
      <c r="E9879" s="3">
        <f>HYPERLINK("https://sao.dolgi.msk.ru/account/1404125648/", 1404125648)</f>
        <v>1404125648</v>
      </c>
      <c r="F9879">
        <v>-6000.61</v>
      </c>
    </row>
    <row r="9880" spans="1:6" hidden="1" x14ac:dyDescent="0.25">
      <c r="A9880" t="s">
        <v>696</v>
      </c>
      <c r="B9880" t="s">
        <v>23</v>
      </c>
      <c r="E9880" s="3">
        <f>HYPERLINK("https://sao.dolgi.msk.ru/account/1404125656/", 1404125656)</f>
        <v>1404125656</v>
      </c>
      <c r="F9880">
        <v>-4296.7700000000004</v>
      </c>
    </row>
    <row r="9881" spans="1:6" hidden="1" x14ac:dyDescent="0.25">
      <c r="A9881" t="s">
        <v>696</v>
      </c>
      <c r="B9881" t="s">
        <v>24</v>
      </c>
      <c r="E9881" s="3">
        <f>HYPERLINK("https://sao.dolgi.msk.ru/account/1404125664/", 1404125664)</f>
        <v>1404125664</v>
      </c>
      <c r="F9881">
        <v>-2362.1799999999998</v>
      </c>
    </row>
    <row r="9882" spans="1:6" hidden="1" x14ac:dyDescent="0.25">
      <c r="A9882" t="s">
        <v>696</v>
      </c>
      <c r="B9882" t="s">
        <v>25</v>
      </c>
      <c r="E9882" s="3">
        <f>HYPERLINK("https://sao.dolgi.msk.ru/account/1404125859/", 1404125859)</f>
        <v>1404125859</v>
      </c>
      <c r="F9882">
        <v>-3255.8</v>
      </c>
    </row>
    <row r="9883" spans="1:6" hidden="1" x14ac:dyDescent="0.25">
      <c r="A9883" t="s">
        <v>696</v>
      </c>
      <c r="B9883" t="s">
        <v>26</v>
      </c>
      <c r="E9883" s="3">
        <f>HYPERLINK("https://sao.dolgi.msk.ru/account/1404125293/", 1404125293)</f>
        <v>1404125293</v>
      </c>
      <c r="F9883">
        <v>-4101.54</v>
      </c>
    </row>
    <row r="9884" spans="1:6" hidden="1" x14ac:dyDescent="0.25">
      <c r="A9884" t="s">
        <v>696</v>
      </c>
      <c r="B9884" t="s">
        <v>27</v>
      </c>
      <c r="E9884" s="3">
        <f>HYPERLINK("https://sao.dolgi.msk.ru/account/1404125306/", 1404125306)</f>
        <v>1404125306</v>
      </c>
      <c r="F9884">
        <v>-4213.6000000000004</v>
      </c>
    </row>
    <row r="9885" spans="1:6" hidden="1" x14ac:dyDescent="0.25">
      <c r="A9885" t="s">
        <v>696</v>
      </c>
      <c r="B9885" t="s">
        <v>28</v>
      </c>
      <c r="E9885" s="3">
        <f>HYPERLINK("https://sao.dolgi.msk.ru/account/1404125437/", 1404125437)</f>
        <v>1404125437</v>
      </c>
      <c r="F9885">
        <v>-3193.47</v>
      </c>
    </row>
    <row r="9886" spans="1:6" hidden="1" x14ac:dyDescent="0.25">
      <c r="A9886" t="s">
        <v>696</v>
      </c>
      <c r="B9886" t="s">
        <v>29</v>
      </c>
      <c r="E9886" s="3">
        <f>HYPERLINK("https://sao.dolgi.msk.ru/account/1404125226/", 1404125226)</f>
        <v>1404125226</v>
      </c>
      <c r="F9886">
        <v>-3274.91</v>
      </c>
    </row>
    <row r="9887" spans="1:6" hidden="1" x14ac:dyDescent="0.25">
      <c r="A9887" t="s">
        <v>696</v>
      </c>
      <c r="B9887" t="s">
        <v>30</v>
      </c>
      <c r="E9887" s="3">
        <f>HYPERLINK("https://sao.dolgi.msk.ru/account/1404125445/", 1404125445)</f>
        <v>1404125445</v>
      </c>
      <c r="F9887">
        <v>-2240.7399999999998</v>
      </c>
    </row>
    <row r="9888" spans="1:6" hidden="1" x14ac:dyDescent="0.25">
      <c r="A9888" t="s">
        <v>696</v>
      </c>
      <c r="B9888" t="s">
        <v>31</v>
      </c>
      <c r="E9888" s="3">
        <f>HYPERLINK("https://sao.dolgi.msk.ru/account/1404125963/", 1404125963)</f>
        <v>1404125963</v>
      </c>
      <c r="F9888">
        <v>-4085.64</v>
      </c>
    </row>
    <row r="9889" spans="1:6" hidden="1" x14ac:dyDescent="0.25">
      <c r="A9889" t="s">
        <v>696</v>
      </c>
      <c r="B9889" t="s">
        <v>32</v>
      </c>
      <c r="E9889" s="3">
        <f>HYPERLINK("https://sao.dolgi.msk.ru/account/1404125576/", 1404125576)</f>
        <v>1404125576</v>
      </c>
      <c r="F9889">
        <v>-2857.97</v>
      </c>
    </row>
    <row r="9890" spans="1:6" hidden="1" x14ac:dyDescent="0.25">
      <c r="A9890" t="s">
        <v>696</v>
      </c>
      <c r="B9890" t="s">
        <v>33</v>
      </c>
      <c r="E9890" s="3">
        <f>HYPERLINK("https://sao.dolgi.msk.ru/account/1404125584/", 1404125584)</f>
        <v>1404125584</v>
      </c>
      <c r="F9890">
        <v>-4053.03</v>
      </c>
    </row>
    <row r="9891" spans="1:6" hidden="1" x14ac:dyDescent="0.25">
      <c r="A9891" t="s">
        <v>696</v>
      </c>
      <c r="B9891" t="s">
        <v>34</v>
      </c>
      <c r="E9891" s="3">
        <f>HYPERLINK("https://sao.dolgi.msk.ru/account/1404125875/", 1404125875)</f>
        <v>1404125875</v>
      </c>
      <c r="F9891">
        <v>-4229.08</v>
      </c>
    </row>
    <row r="9892" spans="1:6" hidden="1" x14ac:dyDescent="0.25">
      <c r="A9892" t="s">
        <v>696</v>
      </c>
      <c r="B9892" t="s">
        <v>35</v>
      </c>
      <c r="E9892" s="3">
        <f>HYPERLINK("https://sao.dolgi.msk.ru/account/1404125453/", 1404125453)</f>
        <v>1404125453</v>
      </c>
      <c r="F9892">
        <v>-1415.82</v>
      </c>
    </row>
    <row r="9893" spans="1:6" hidden="1" x14ac:dyDescent="0.25">
      <c r="A9893" t="s">
        <v>696</v>
      </c>
      <c r="B9893" t="s">
        <v>36</v>
      </c>
      <c r="E9893" s="3">
        <f>HYPERLINK("https://sao.dolgi.msk.ru/account/1404125461/", 1404125461)</f>
        <v>1404125461</v>
      </c>
      <c r="F9893">
        <v>-778.68</v>
      </c>
    </row>
    <row r="9894" spans="1:6" hidden="1" x14ac:dyDescent="0.25">
      <c r="A9894" t="s">
        <v>696</v>
      </c>
      <c r="B9894" t="s">
        <v>37</v>
      </c>
      <c r="E9894" s="3">
        <f>HYPERLINK("https://sao.dolgi.msk.ru/account/1404125314/", 1404125314)</f>
        <v>1404125314</v>
      </c>
      <c r="F9894">
        <v>-1795.34</v>
      </c>
    </row>
    <row r="9895" spans="1:6" hidden="1" x14ac:dyDescent="0.25">
      <c r="A9895" t="s">
        <v>696</v>
      </c>
      <c r="B9895" t="s">
        <v>38</v>
      </c>
      <c r="E9895" s="3">
        <f>HYPERLINK("https://sao.dolgi.msk.ru/account/1404125234/", 1404125234)</f>
        <v>1404125234</v>
      </c>
      <c r="F9895">
        <v>-1389.12</v>
      </c>
    </row>
    <row r="9896" spans="1:6" hidden="1" x14ac:dyDescent="0.25">
      <c r="A9896" t="s">
        <v>696</v>
      </c>
      <c r="B9896" t="s">
        <v>39</v>
      </c>
      <c r="E9896" s="3">
        <f>HYPERLINK("https://sao.dolgi.msk.ru/account/1404125971/", 1404125971)</f>
        <v>1404125971</v>
      </c>
      <c r="F9896">
        <v>-2079.4899999999998</v>
      </c>
    </row>
    <row r="9897" spans="1:6" hidden="1" x14ac:dyDescent="0.25">
      <c r="A9897" t="s">
        <v>696</v>
      </c>
      <c r="B9897" t="s">
        <v>40</v>
      </c>
      <c r="E9897" s="3">
        <f>HYPERLINK("https://sao.dolgi.msk.ru/account/1404125672/", 1404125672)</f>
        <v>1404125672</v>
      </c>
      <c r="F9897">
        <v>-3294.47</v>
      </c>
    </row>
    <row r="9898" spans="1:6" hidden="1" x14ac:dyDescent="0.25">
      <c r="A9898" t="s">
        <v>696</v>
      </c>
      <c r="B9898" t="s">
        <v>41</v>
      </c>
      <c r="E9898" s="3">
        <f>HYPERLINK("https://sao.dolgi.msk.ru/account/1404125488/", 1404125488)</f>
        <v>1404125488</v>
      </c>
      <c r="F9898">
        <v>-4838.18</v>
      </c>
    </row>
    <row r="9899" spans="1:6" hidden="1" x14ac:dyDescent="0.25">
      <c r="A9899" t="s">
        <v>696</v>
      </c>
      <c r="B9899" t="s">
        <v>42</v>
      </c>
      <c r="E9899" s="3">
        <f>HYPERLINK("https://sao.dolgi.msk.ru/account/1404125699/", 1404125699)</f>
        <v>1404125699</v>
      </c>
      <c r="F9899">
        <v>0</v>
      </c>
    </row>
    <row r="9900" spans="1:6" hidden="1" x14ac:dyDescent="0.25">
      <c r="A9900" t="s">
        <v>696</v>
      </c>
      <c r="B9900" t="s">
        <v>43</v>
      </c>
      <c r="E9900" s="3">
        <f>HYPERLINK("https://sao.dolgi.msk.ru/account/1404125779/", 1404125779)</f>
        <v>1404125779</v>
      </c>
      <c r="F9900">
        <v>-24477.72</v>
      </c>
    </row>
    <row r="9901" spans="1:6" hidden="1" x14ac:dyDescent="0.25">
      <c r="A9901" t="s">
        <v>696</v>
      </c>
      <c r="B9901" t="s">
        <v>44</v>
      </c>
      <c r="E9901" s="3">
        <f>HYPERLINK("https://sao.dolgi.msk.ru/account/1404125496/", 1404125496)</f>
        <v>1404125496</v>
      </c>
      <c r="F9901">
        <v>-4798.3999999999996</v>
      </c>
    </row>
    <row r="9902" spans="1:6" x14ac:dyDescent="0.25">
      <c r="A9902" t="s">
        <v>696</v>
      </c>
      <c r="B9902" t="s">
        <v>45</v>
      </c>
      <c r="C9902" s="5" t="str">
        <f>" кв. "&amp;B9902</f>
        <v xml:space="preserve"> кв. 41</v>
      </c>
      <c r="D9902" s="5" t="str">
        <f>CONCATENATE(A9902,C9902)</f>
        <v>Смольная ул., дом 39 кв. 41</v>
      </c>
      <c r="E9902" s="3">
        <f>HYPERLINK("https://sao.dolgi.msk.ru/account/1404125322/", 1404125322)</f>
        <v>1404125322</v>
      </c>
      <c r="F9902">
        <v>7891.17</v>
      </c>
    </row>
    <row r="9903" spans="1:6" hidden="1" x14ac:dyDescent="0.25">
      <c r="A9903" t="s">
        <v>696</v>
      </c>
      <c r="B9903" t="s">
        <v>46</v>
      </c>
      <c r="E9903" s="3">
        <f>HYPERLINK("https://sao.dolgi.msk.ru/account/1404125349/", 1404125349)</f>
        <v>1404125349</v>
      </c>
      <c r="F9903">
        <v>-3657.77</v>
      </c>
    </row>
    <row r="9904" spans="1:6" hidden="1" x14ac:dyDescent="0.25">
      <c r="A9904" t="s">
        <v>696</v>
      </c>
      <c r="B9904" t="s">
        <v>47</v>
      </c>
      <c r="E9904" s="3">
        <f>HYPERLINK("https://sao.dolgi.msk.ru/account/1404125701/", 1404125701)</f>
        <v>1404125701</v>
      </c>
      <c r="F9904">
        <v>0</v>
      </c>
    </row>
    <row r="9905" spans="1:6" hidden="1" x14ac:dyDescent="0.25">
      <c r="A9905" t="s">
        <v>696</v>
      </c>
      <c r="B9905" t="s">
        <v>48</v>
      </c>
      <c r="E9905" s="3">
        <f>HYPERLINK("https://sao.dolgi.msk.ru/account/1404125509/", 1404125509)</f>
        <v>1404125509</v>
      </c>
      <c r="F9905">
        <v>-2933.87</v>
      </c>
    </row>
    <row r="9906" spans="1:6" hidden="1" x14ac:dyDescent="0.25">
      <c r="A9906" t="s">
        <v>696</v>
      </c>
      <c r="B9906" t="s">
        <v>49</v>
      </c>
      <c r="E9906" s="3">
        <f>HYPERLINK("https://sao.dolgi.msk.ru/account/1404125269/", 1404125269)</f>
        <v>1404125269</v>
      </c>
      <c r="F9906">
        <v>-3403.83</v>
      </c>
    </row>
    <row r="9907" spans="1:6" hidden="1" x14ac:dyDescent="0.25">
      <c r="A9907" t="s">
        <v>696</v>
      </c>
      <c r="B9907" t="s">
        <v>50</v>
      </c>
      <c r="E9907" s="3">
        <f>HYPERLINK("https://sao.dolgi.msk.ru/account/1404125787/", 1404125787)</f>
        <v>1404125787</v>
      </c>
      <c r="F9907">
        <v>-1516.7</v>
      </c>
    </row>
    <row r="9908" spans="1:6" hidden="1" x14ac:dyDescent="0.25">
      <c r="A9908" t="s">
        <v>696</v>
      </c>
      <c r="B9908" t="s">
        <v>51</v>
      </c>
      <c r="E9908" s="3">
        <f>HYPERLINK("https://sao.dolgi.msk.ru/account/1404125883/", 1404125883)</f>
        <v>1404125883</v>
      </c>
      <c r="F9908">
        <v>-2893.92</v>
      </c>
    </row>
    <row r="9909" spans="1:6" hidden="1" x14ac:dyDescent="0.25">
      <c r="A9909" t="s">
        <v>696</v>
      </c>
      <c r="B9909" t="s">
        <v>52</v>
      </c>
      <c r="E9909" s="3">
        <f>HYPERLINK("https://sao.dolgi.msk.ru/account/1404125592/", 1404125592)</f>
        <v>1404125592</v>
      </c>
      <c r="F9909">
        <v>-2910.34</v>
      </c>
    </row>
    <row r="9910" spans="1:6" hidden="1" x14ac:dyDescent="0.25">
      <c r="A9910" t="s">
        <v>696</v>
      </c>
      <c r="B9910" t="s">
        <v>53</v>
      </c>
      <c r="E9910" s="3">
        <f>HYPERLINK("https://sao.dolgi.msk.ru/account/1404125517/", 1404125517)</f>
        <v>1404125517</v>
      </c>
      <c r="F9910">
        <v>-670.01</v>
      </c>
    </row>
    <row r="9911" spans="1:6" hidden="1" x14ac:dyDescent="0.25">
      <c r="A9911" t="s">
        <v>696</v>
      </c>
      <c r="B9911" t="s">
        <v>54</v>
      </c>
      <c r="E9911" s="3">
        <f>HYPERLINK("https://sao.dolgi.msk.ru/account/1404125605/", 1404125605)</f>
        <v>1404125605</v>
      </c>
      <c r="F9911">
        <v>-2076.56</v>
      </c>
    </row>
    <row r="9912" spans="1:6" hidden="1" x14ac:dyDescent="0.25">
      <c r="A9912" t="s">
        <v>696</v>
      </c>
      <c r="B9912" t="s">
        <v>55</v>
      </c>
      <c r="E9912" s="3">
        <f>HYPERLINK("https://sao.dolgi.msk.ru/account/1404125277/", 1404125277)</f>
        <v>1404125277</v>
      </c>
      <c r="F9912">
        <v>-5483.08</v>
      </c>
    </row>
    <row r="9913" spans="1:6" x14ac:dyDescent="0.25">
      <c r="A9913" t="s">
        <v>696</v>
      </c>
      <c r="B9913" t="s">
        <v>56</v>
      </c>
      <c r="C9913" s="5" t="str">
        <f>" кв. "&amp;B9913</f>
        <v xml:space="preserve"> кв. 52</v>
      </c>
      <c r="D9913" s="5" t="str">
        <f>CONCATENATE(A9913,C9913)</f>
        <v>Смольная ул., дом 39 кв. 52</v>
      </c>
      <c r="E9913" s="3">
        <f>HYPERLINK("https://sao.dolgi.msk.ru/account/1404125285/", 1404125285)</f>
        <v>1404125285</v>
      </c>
      <c r="F9913">
        <v>21979.48</v>
      </c>
    </row>
    <row r="9914" spans="1:6" hidden="1" x14ac:dyDescent="0.25">
      <c r="A9914" t="s">
        <v>696</v>
      </c>
      <c r="B9914" t="s">
        <v>57</v>
      </c>
      <c r="E9914" s="3">
        <f>HYPERLINK("https://sao.dolgi.msk.ru/account/1404125357/", 1404125357)</f>
        <v>1404125357</v>
      </c>
      <c r="F9914">
        <v>-3474.64</v>
      </c>
    </row>
    <row r="9915" spans="1:6" hidden="1" x14ac:dyDescent="0.25">
      <c r="A9915" t="s">
        <v>696</v>
      </c>
      <c r="B9915" t="s">
        <v>58</v>
      </c>
      <c r="E9915" s="3">
        <f>HYPERLINK("https://sao.dolgi.msk.ru/account/1404125728/", 1404125728)</f>
        <v>1404125728</v>
      </c>
      <c r="F9915">
        <v>-4304.5</v>
      </c>
    </row>
    <row r="9916" spans="1:6" hidden="1" x14ac:dyDescent="0.25">
      <c r="A9916" t="s">
        <v>696</v>
      </c>
      <c r="B9916" t="s">
        <v>59</v>
      </c>
      <c r="E9916" s="3">
        <f>HYPERLINK("https://sao.dolgi.msk.ru/account/1404125525/", 1404125525)</f>
        <v>1404125525</v>
      </c>
      <c r="F9916">
        <v>-2932.93</v>
      </c>
    </row>
    <row r="9917" spans="1:6" hidden="1" x14ac:dyDescent="0.25">
      <c r="A9917" t="s">
        <v>696</v>
      </c>
      <c r="B9917" t="s">
        <v>60</v>
      </c>
      <c r="E9917" s="3">
        <f>HYPERLINK("https://sao.dolgi.msk.ru/account/1404125795/", 1404125795)</f>
        <v>1404125795</v>
      </c>
      <c r="F9917">
        <v>-4434.71</v>
      </c>
    </row>
    <row r="9918" spans="1:6" hidden="1" x14ac:dyDescent="0.25">
      <c r="A9918" t="s">
        <v>696</v>
      </c>
      <c r="B9918" t="s">
        <v>61</v>
      </c>
      <c r="E9918" s="3">
        <f>HYPERLINK("https://sao.dolgi.msk.ru/account/1404125613/", 1404125613)</f>
        <v>1404125613</v>
      </c>
      <c r="F9918">
        <v>-2879.56</v>
      </c>
    </row>
    <row r="9919" spans="1:6" hidden="1" x14ac:dyDescent="0.25">
      <c r="A9919" t="s">
        <v>696</v>
      </c>
      <c r="B9919" t="s">
        <v>62</v>
      </c>
      <c r="E9919" s="3">
        <f>HYPERLINK("https://sao.dolgi.msk.ru/account/1404125621/", 1404125621)</f>
        <v>1404125621</v>
      </c>
      <c r="F9919">
        <v>-918.74</v>
      </c>
    </row>
    <row r="9920" spans="1:6" x14ac:dyDescent="0.25">
      <c r="A9920" t="s">
        <v>696</v>
      </c>
      <c r="B9920" t="s">
        <v>63</v>
      </c>
      <c r="C9920" s="5" t="str">
        <f>" кв. "&amp;B9920</f>
        <v xml:space="preserve"> кв. 59</v>
      </c>
      <c r="D9920" s="5" t="str">
        <f>CONCATENATE(A9920,C9920)</f>
        <v>Смольная ул., дом 39 кв. 59</v>
      </c>
      <c r="E9920" s="3">
        <f>HYPERLINK("https://sao.dolgi.msk.ru/account/1404125998/", 1404125998)</f>
        <v>1404125998</v>
      </c>
      <c r="F9920">
        <v>3533.24</v>
      </c>
    </row>
    <row r="9921" spans="1:6" hidden="1" x14ac:dyDescent="0.25">
      <c r="A9921" t="s">
        <v>696</v>
      </c>
      <c r="B9921" t="s">
        <v>64</v>
      </c>
      <c r="E9921" s="3">
        <f>HYPERLINK("https://sao.dolgi.msk.ru/account/1404125891/", 1404125891)</f>
        <v>1404125891</v>
      </c>
      <c r="F9921">
        <v>-755.71</v>
      </c>
    </row>
    <row r="9922" spans="1:6" hidden="1" x14ac:dyDescent="0.25">
      <c r="A9922" t="s">
        <v>696</v>
      </c>
      <c r="B9922" t="s">
        <v>65</v>
      </c>
      <c r="E9922" s="3">
        <f>HYPERLINK("https://sao.dolgi.msk.ru/account/1404126018/", 1404126018)</f>
        <v>1404126018</v>
      </c>
      <c r="F9922">
        <v>0</v>
      </c>
    </row>
    <row r="9923" spans="1:6" hidden="1" x14ac:dyDescent="0.25">
      <c r="A9923" t="s">
        <v>696</v>
      </c>
      <c r="B9923" t="s">
        <v>66</v>
      </c>
      <c r="E9923" s="3">
        <f>HYPERLINK("https://sao.dolgi.msk.ru/account/1404125904/", 1404125904)</f>
        <v>1404125904</v>
      </c>
      <c r="F9923">
        <v>-4190.3999999999996</v>
      </c>
    </row>
    <row r="9924" spans="1:6" hidden="1" x14ac:dyDescent="0.25">
      <c r="A9924" t="s">
        <v>696</v>
      </c>
      <c r="B9924" t="s">
        <v>67</v>
      </c>
      <c r="E9924" s="3">
        <f>HYPERLINK("https://sao.dolgi.msk.ru/account/1404125912/", 1404125912)</f>
        <v>1404125912</v>
      </c>
      <c r="F9924">
        <v>-3623.12</v>
      </c>
    </row>
    <row r="9925" spans="1:6" hidden="1" x14ac:dyDescent="0.25">
      <c r="A9925" t="s">
        <v>696</v>
      </c>
      <c r="B9925" t="s">
        <v>68</v>
      </c>
      <c r="E9925" s="3">
        <f>HYPERLINK("https://sao.dolgi.msk.ru/account/1404126026/", 1404126026)</f>
        <v>1404126026</v>
      </c>
      <c r="F9925">
        <v>-3001.24</v>
      </c>
    </row>
    <row r="9926" spans="1:6" hidden="1" x14ac:dyDescent="0.25">
      <c r="A9926" t="s">
        <v>696</v>
      </c>
      <c r="B9926" t="s">
        <v>69</v>
      </c>
      <c r="E9926" s="3">
        <f>HYPERLINK("https://sao.dolgi.msk.ru/account/1404125365/", 1404125365)</f>
        <v>1404125365</v>
      </c>
      <c r="F9926">
        <v>0</v>
      </c>
    </row>
    <row r="9927" spans="1:6" hidden="1" x14ac:dyDescent="0.25">
      <c r="A9927" t="s">
        <v>696</v>
      </c>
      <c r="B9927" t="s">
        <v>70</v>
      </c>
      <c r="E9927" s="3">
        <f>HYPERLINK("https://sao.dolgi.msk.ru/account/1404125533/", 1404125533)</f>
        <v>1404125533</v>
      </c>
      <c r="F9927">
        <v>-1696.44</v>
      </c>
    </row>
    <row r="9928" spans="1:6" hidden="1" x14ac:dyDescent="0.25">
      <c r="A9928" t="s">
        <v>696</v>
      </c>
      <c r="B9928" t="s">
        <v>71</v>
      </c>
      <c r="E9928" s="3">
        <f>HYPERLINK("https://sao.dolgi.msk.ru/account/1404125808/", 1404125808)</f>
        <v>1404125808</v>
      </c>
      <c r="F9928">
        <v>-2019.35</v>
      </c>
    </row>
    <row r="9929" spans="1:6" hidden="1" x14ac:dyDescent="0.25">
      <c r="A9929" t="s">
        <v>696</v>
      </c>
      <c r="B9929" t="s">
        <v>71</v>
      </c>
      <c r="E9929" s="3">
        <f>HYPERLINK("https://sao.dolgi.msk.ru/account/1404126034/", 1404126034)</f>
        <v>1404126034</v>
      </c>
      <c r="F9929">
        <v>-869.39</v>
      </c>
    </row>
    <row r="9930" spans="1:6" x14ac:dyDescent="0.25">
      <c r="A9930" t="s">
        <v>696</v>
      </c>
      <c r="B9930" t="s">
        <v>72</v>
      </c>
      <c r="C9930" s="5" t="str">
        <f>" кв. "&amp;B9930</f>
        <v xml:space="preserve"> кв. 68</v>
      </c>
      <c r="D9930" s="5" t="str">
        <f>CONCATENATE(A9930,C9930)</f>
        <v>Смольная ул., дом 39 кв. 68</v>
      </c>
      <c r="E9930" s="3">
        <f>HYPERLINK("https://sao.dolgi.msk.ru/account/1404125736/", 1404125736)</f>
        <v>1404125736</v>
      </c>
      <c r="F9930">
        <v>80680.710000000006</v>
      </c>
    </row>
    <row r="9931" spans="1:6" hidden="1" x14ac:dyDescent="0.25">
      <c r="A9931" t="s">
        <v>696</v>
      </c>
      <c r="B9931" t="s">
        <v>73</v>
      </c>
      <c r="E9931" s="3">
        <f>HYPERLINK("https://sao.dolgi.msk.ru/account/1404125373/", 1404125373)</f>
        <v>1404125373</v>
      </c>
      <c r="F9931">
        <v>-6066.94</v>
      </c>
    </row>
    <row r="9932" spans="1:6" x14ac:dyDescent="0.25">
      <c r="A9932" t="s">
        <v>696</v>
      </c>
      <c r="B9932" t="s">
        <v>74</v>
      </c>
      <c r="C9932" s="5" t="str">
        <f>" кв. "&amp;B9932</f>
        <v xml:space="preserve"> кв. 70</v>
      </c>
      <c r="D9932" s="5" t="str">
        <f>CONCATENATE(A9932,C9932)</f>
        <v>Смольная ул., дом 39 кв. 70</v>
      </c>
      <c r="E9932" s="3">
        <f>HYPERLINK("https://sao.dolgi.msk.ru/account/1404125541/", 1404125541)</f>
        <v>1404125541</v>
      </c>
      <c r="F9932">
        <v>4685.45</v>
      </c>
    </row>
    <row r="9933" spans="1:6" hidden="1" x14ac:dyDescent="0.25">
      <c r="A9933" t="s">
        <v>696</v>
      </c>
      <c r="B9933" t="s">
        <v>75</v>
      </c>
      <c r="E9933" s="3">
        <f>HYPERLINK("https://sao.dolgi.msk.ru/account/1404125568/", 1404125568)</f>
        <v>1404125568</v>
      </c>
      <c r="F9933">
        <v>-3540.97</v>
      </c>
    </row>
    <row r="9934" spans="1:6" hidden="1" x14ac:dyDescent="0.25">
      <c r="A9934" t="s">
        <v>696</v>
      </c>
      <c r="B9934" t="s">
        <v>76</v>
      </c>
      <c r="E9934" s="3">
        <f>HYPERLINK("https://sao.dolgi.msk.ru/account/1404125816/", 1404125816)</f>
        <v>1404125816</v>
      </c>
      <c r="F9934">
        <v>0</v>
      </c>
    </row>
    <row r="9935" spans="1:6" hidden="1" x14ac:dyDescent="0.25">
      <c r="A9935" t="s">
        <v>697</v>
      </c>
      <c r="B9935" t="s">
        <v>5</v>
      </c>
      <c r="E9935" s="3">
        <f>HYPERLINK("https://sao.dolgi.msk.ru/account/1404126309/", 1404126309)</f>
        <v>1404126309</v>
      </c>
      <c r="F9935">
        <v>-4096.75</v>
      </c>
    </row>
    <row r="9936" spans="1:6" hidden="1" x14ac:dyDescent="0.25">
      <c r="A9936" t="s">
        <v>697</v>
      </c>
      <c r="B9936" t="s">
        <v>6</v>
      </c>
      <c r="E9936" s="3">
        <f>HYPERLINK("https://sao.dolgi.msk.ru/account/1404126077/", 1404126077)</f>
        <v>1404126077</v>
      </c>
      <c r="F9936">
        <v>-5734.67</v>
      </c>
    </row>
    <row r="9937" spans="1:6" hidden="1" x14ac:dyDescent="0.25">
      <c r="A9937" t="s">
        <v>697</v>
      </c>
      <c r="B9937" t="s">
        <v>7</v>
      </c>
      <c r="E9937" s="3">
        <f>HYPERLINK("https://sao.dolgi.msk.ru/account/1404126106/", 1404126106)</f>
        <v>1404126106</v>
      </c>
      <c r="F9937">
        <v>-3109.96</v>
      </c>
    </row>
    <row r="9938" spans="1:6" x14ac:dyDescent="0.25">
      <c r="A9938" t="s">
        <v>697</v>
      </c>
      <c r="B9938" t="s">
        <v>8</v>
      </c>
      <c r="C9938" s="5" t="str">
        <f>" кв. "&amp;B9938</f>
        <v xml:space="preserve"> кв. 4</v>
      </c>
      <c r="D9938" s="5" t="str">
        <f>CONCATENATE(A9938,C9938)</f>
        <v>Смольная ул., дом 41 кв. 4</v>
      </c>
      <c r="E9938" s="3">
        <f>HYPERLINK("https://sao.dolgi.msk.ru/account/1404126333/", 1404126333)</f>
        <v>1404126333</v>
      </c>
      <c r="F9938">
        <v>11066.47</v>
      </c>
    </row>
    <row r="9939" spans="1:6" hidden="1" x14ac:dyDescent="0.25">
      <c r="A9939" t="s">
        <v>697</v>
      </c>
      <c r="B9939" t="s">
        <v>9</v>
      </c>
      <c r="E9939" s="3">
        <f>HYPERLINK("https://sao.dolgi.msk.ru/account/1404126245/", 1404126245)</f>
        <v>1404126245</v>
      </c>
      <c r="F9939">
        <v>-3841.75</v>
      </c>
    </row>
    <row r="9940" spans="1:6" hidden="1" x14ac:dyDescent="0.25">
      <c r="A9940" t="s">
        <v>697</v>
      </c>
      <c r="B9940" t="s">
        <v>10</v>
      </c>
      <c r="E9940" s="3">
        <f>HYPERLINK("https://sao.dolgi.msk.ru/account/1404126368/", 1404126368)</f>
        <v>1404126368</v>
      </c>
      <c r="F9940">
        <v>-3220.73</v>
      </c>
    </row>
    <row r="9941" spans="1:6" x14ac:dyDescent="0.25">
      <c r="A9941" t="s">
        <v>697</v>
      </c>
      <c r="B9941" t="s">
        <v>11</v>
      </c>
      <c r="C9941" s="5" t="str">
        <f>" кв. "&amp;B9941</f>
        <v xml:space="preserve"> кв. 7</v>
      </c>
      <c r="D9941" s="5" t="str">
        <f>CONCATENATE(A9941,C9941)</f>
        <v>Смольная ул., дом 41 кв. 7</v>
      </c>
      <c r="E9941" s="3">
        <f>HYPERLINK("https://sao.dolgi.msk.ru/account/1404126616/", 1404126616)</f>
        <v>1404126616</v>
      </c>
      <c r="F9941">
        <v>9732.75</v>
      </c>
    </row>
    <row r="9942" spans="1:6" hidden="1" x14ac:dyDescent="0.25">
      <c r="A9942" t="s">
        <v>697</v>
      </c>
      <c r="B9942" t="s">
        <v>12</v>
      </c>
      <c r="E9942" s="3">
        <f>HYPERLINK("https://sao.dolgi.msk.ru/account/1404126747/", 1404126747)</f>
        <v>1404126747</v>
      </c>
      <c r="F9942">
        <v>-1827.45</v>
      </c>
    </row>
    <row r="9943" spans="1:6" hidden="1" x14ac:dyDescent="0.25">
      <c r="A9943" t="s">
        <v>697</v>
      </c>
      <c r="B9943" t="s">
        <v>13</v>
      </c>
      <c r="E9943" s="3">
        <f>HYPERLINK("https://sao.dolgi.msk.ru/account/1404126173/", 1404126173)</f>
        <v>1404126173</v>
      </c>
      <c r="F9943">
        <v>-1269.26</v>
      </c>
    </row>
    <row r="9944" spans="1:6" hidden="1" x14ac:dyDescent="0.25">
      <c r="A9944" t="s">
        <v>697</v>
      </c>
      <c r="B9944" t="s">
        <v>14</v>
      </c>
      <c r="E9944" s="3">
        <f>HYPERLINK("https://sao.dolgi.msk.ru/account/1404126659/", 1404126659)</f>
        <v>1404126659</v>
      </c>
      <c r="F9944">
        <v>-473.32</v>
      </c>
    </row>
    <row r="9945" spans="1:6" hidden="1" x14ac:dyDescent="0.25">
      <c r="A9945" t="s">
        <v>697</v>
      </c>
      <c r="B9945" t="s">
        <v>15</v>
      </c>
      <c r="E9945" s="3">
        <f>HYPERLINK("https://sao.dolgi.msk.ru/account/1404126501/", 1404126501)</f>
        <v>1404126501</v>
      </c>
      <c r="F9945">
        <v>0</v>
      </c>
    </row>
    <row r="9946" spans="1:6" x14ac:dyDescent="0.25">
      <c r="A9946" t="s">
        <v>697</v>
      </c>
      <c r="B9946" t="s">
        <v>16</v>
      </c>
      <c r="C9946" s="5" t="str">
        <f>" кв. "&amp;B9946</f>
        <v xml:space="preserve"> кв. 12</v>
      </c>
      <c r="D9946" s="5" t="str">
        <f>CONCATENATE(A9946,C9946)</f>
        <v>Смольная ул., дом 41 кв. 12</v>
      </c>
      <c r="E9946" s="3">
        <f>HYPERLINK("https://sao.dolgi.msk.ru/account/1404126042/", 1404126042)</f>
        <v>1404126042</v>
      </c>
      <c r="F9946">
        <v>6722.19</v>
      </c>
    </row>
    <row r="9947" spans="1:6" hidden="1" x14ac:dyDescent="0.25">
      <c r="A9947" t="s">
        <v>697</v>
      </c>
      <c r="B9947" t="s">
        <v>17</v>
      </c>
      <c r="E9947" s="3">
        <f>HYPERLINK("https://sao.dolgi.msk.ru/account/1404126667/", 1404126667)</f>
        <v>1404126667</v>
      </c>
      <c r="F9947">
        <v>-1215.47</v>
      </c>
    </row>
    <row r="9948" spans="1:6" hidden="1" x14ac:dyDescent="0.25">
      <c r="A9948" t="s">
        <v>697</v>
      </c>
      <c r="B9948" t="s">
        <v>18</v>
      </c>
      <c r="E9948" s="3">
        <f>HYPERLINK("https://sao.dolgi.msk.ru/account/1404126675/", 1404126675)</f>
        <v>1404126675</v>
      </c>
      <c r="F9948">
        <v>-1832.72</v>
      </c>
    </row>
    <row r="9949" spans="1:6" hidden="1" x14ac:dyDescent="0.25">
      <c r="A9949" t="s">
        <v>697</v>
      </c>
      <c r="B9949" t="s">
        <v>19</v>
      </c>
      <c r="E9949" s="3">
        <f>HYPERLINK("https://sao.dolgi.msk.ru/account/1404126181/", 1404126181)</f>
        <v>1404126181</v>
      </c>
      <c r="F9949">
        <v>-3842.05</v>
      </c>
    </row>
    <row r="9950" spans="1:6" hidden="1" x14ac:dyDescent="0.25">
      <c r="A9950" t="s">
        <v>697</v>
      </c>
      <c r="B9950" t="s">
        <v>20</v>
      </c>
      <c r="E9950" s="3">
        <f>HYPERLINK("https://sao.dolgi.msk.ru/account/1404126755/", 1404126755)</f>
        <v>1404126755</v>
      </c>
      <c r="F9950">
        <v>-3145.35</v>
      </c>
    </row>
    <row r="9951" spans="1:6" x14ac:dyDescent="0.25">
      <c r="A9951" t="s">
        <v>697</v>
      </c>
      <c r="B9951" t="s">
        <v>21</v>
      </c>
      <c r="C9951" s="5" t="str">
        <f>" кв. "&amp;B9951</f>
        <v xml:space="preserve"> кв. 17</v>
      </c>
      <c r="D9951" s="5" t="str">
        <f>CONCATENATE(A9951,C9951)</f>
        <v>Смольная ул., дом 41 кв. 17</v>
      </c>
      <c r="E9951" s="3">
        <f>HYPERLINK("https://sao.dolgi.msk.ru/account/1404126069/", 1404126069)</f>
        <v>1404126069</v>
      </c>
      <c r="F9951">
        <v>94374.62</v>
      </c>
    </row>
    <row r="9952" spans="1:6" hidden="1" x14ac:dyDescent="0.25">
      <c r="A9952" t="s">
        <v>697</v>
      </c>
      <c r="B9952" t="s">
        <v>22</v>
      </c>
      <c r="E9952" s="3">
        <f>HYPERLINK("https://sao.dolgi.msk.ru/account/1404126763/", 1404126763)</f>
        <v>1404126763</v>
      </c>
      <c r="F9952">
        <v>0</v>
      </c>
    </row>
    <row r="9953" spans="1:6" hidden="1" x14ac:dyDescent="0.25">
      <c r="A9953" t="s">
        <v>697</v>
      </c>
      <c r="B9953" t="s">
        <v>23</v>
      </c>
      <c r="E9953" s="3">
        <f>HYPERLINK("https://sao.dolgi.msk.ru/account/1404126376/", 1404126376)</f>
        <v>1404126376</v>
      </c>
      <c r="F9953">
        <v>-706.2</v>
      </c>
    </row>
    <row r="9954" spans="1:6" hidden="1" x14ac:dyDescent="0.25">
      <c r="A9954" t="s">
        <v>697</v>
      </c>
      <c r="B9954" t="s">
        <v>24</v>
      </c>
      <c r="E9954" s="3">
        <f>HYPERLINK("https://sao.dolgi.msk.ru/account/1404126771/", 1404126771)</f>
        <v>1404126771</v>
      </c>
      <c r="F9954">
        <v>-770.01</v>
      </c>
    </row>
    <row r="9955" spans="1:6" hidden="1" x14ac:dyDescent="0.25">
      <c r="A9955" t="s">
        <v>697</v>
      </c>
      <c r="B9955" t="s">
        <v>25</v>
      </c>
      <c r="E9955" s="3">
        <f>HYPERLINK("https://sao.dolgi.msk.ru/account/1404126085/", 1404126085)</f>
        <v>1404126085</v>
      </c>
      <c r="F9955">
        <v>-2705.97</v>
      </c>
    </row>
    <row r="9956" spans="1:6" hidden="1" x14ac:dyDescent="0.25">
      <c r="A9956" t="s">
        <v>697</v>
      </c>
      <c r="B9956" t="s">
        <v>26</v>
      </c>
      <c r="E9956" s="3">
        <f>HYPERLINK("https://sao.dolgi.msk.ru/account/1404126384/", 1404126384)</f>
        <v>1404126384</v>
      </c>
      <c r="F9956">
        <v>-3580.42</v>
      </c>
    </row>
    <row r="9957" spans="1:6" hidden="1" x14ac:dyDescent="0.25">
      <c r="A9957" t="s">
        <v>697</v>
      </c>
      <c r="B9957" t="s">
        <v>27</v>
      </c>
      <c r="E9957" s="3">
        <f>HYPERLINK("https://sao.dolgi.msk.ru/account/1404126093/", 1404126093)</f>
        <v>1404126093</v>
      </c>
      <c r="F9957">
        <v>-1911.07</v>
      </c>
    </row>
    <row r="9958" spans="1:6" hidden="1" x14ac:dyDescent="0.25">
      <c r="A9958" t="s">
        <v>697</v>
      </c>
      <c r="B9958" t="s">
        <v>28</v>
      </c>
      <c r="E9958" s="3">
        <f>HYPERLINK("https://sao.dolgi.msk.ru/account/1404126798/", 1404126798)</f>
        <v>1404126798</v>
      </c>
      <c r="F9958">
        <v>-3140.68</v>
      </c>
    </row>
    <row r="9959" spans="1:6" hidden="1" x14ac:dyDescent="0.25">
      <c r="A9959" t="s">
        <v>697</v>
      </c>
      <c r="B9959" t="s">
        <v>29</v>
      </c>
      <c r="E9959" s="3">
        <f>HYPERLINK("https://sao.dolgi.msk.ru/account/1404126683/", 1404126683)</f>
        <v>1404126683</v>
      </c>
      <c r="F9959">
        <v>-3514.71</v>
      </c>
    </row>
    <row r="9960" spans="1:6" hidden="1" x14ac:dyDescent="0.25">
      <c r="A9960" t="s">
        <v>697</v>
      </c>
      <c r="B9960" t="s">
        <v>30</v>
      </c>
      <c r="E9960" s="3">
        <f>HYPERLINK("https://sao.dolgi.msk.ru/account/1404126691/", 1404126691)</f>
        <v>1404126691</v>
      </c>
      <c r="F9960">
        <v>-137.72999999999999</v>
      </c>
    </row>
    <row r="9961" spans="1:6" hidden="1" x14ac:dyDescent="0.25">
      <c r="A9961" t="s">
        <v>697</v>
      </c>
      <c r="B9961" t="s">
        <v>31</v>
      </c>
      <c r="E9961" s="3">
        <f>HYPERLINK("https://sao.dolgi.msk.ru/account/1404126392/", 1404126392)</f>
        <v>1404126392</v>
      </c>
      <c r="F9961">
        <v>-2013.6</v>
      </c>
    </row>
    <row r="9962" spans="1:6" hidden="1" x14ac:dyDescent="0.25">
      <c r="A9962" t="s">
        <v>697</v>
      </c>
      <c r="B9962" t="s">
        <v>32</v>
      </c>
      <c r="E9962" s="3">
        <f>HYPERLINK("https://sao.dolgi.msk.ru/account/1404126528/", 1404126528)</f>
        <v>1404126528</v>
      </c>
      <c r="F9962">
        <v>-2684.56</v>
      </c>
    </row>
    <row r="9963" spans="1:6" hidden="1" x14ac:dyDescent="0.25">
      <c r="A9963" t="s">
        <v>697</v>
      </c>
      <c r="B9963" t="s">
        <v>33</v>
      </c>
      <c r="E9963" s="3">
        <f>HYPERLINK("https://sao.dolgi.msk.ru/account/1404126819/", 1404126819)</f>
        <v>1404126819</v>
      </c>
      <c r="F9963">
        <v>-6204.36</v>
      </c>
    </row>
    <row r="9964" spans="1:6" hidden="1" x14ac:dyDescent="0.25">
      <c r="A9964" t="s">
        <v>697</v>
      </c>
      <c r="B9964" t="s">
        <v>34</v>
      </c>
      <c r="E9964" s="3">
        <f>HYPERLINK("https://sao.dolgi.msk.ru/account/1404126827/", 1404126827)</f>
        <v>1404126827</v>
      </c>
      <c r="F9964">
        <v>-2419.34</v>
      </c>
    </row>
    <row r="9965" spans="1:6" hidden="1" x14ac:dyDescent="0.25">
      <c r="A9965" t="s">
        <v>697</v>
      </c>
      <c r="B9965" t="s">
        <v>35</v>
      </c>
      <c r="E9965" s="3">
        <f>HYPERLINK("https://sao.dolgi.msk.ru/account/1404126317/", 1404126317)</f>
        <v>1404126317</v>
      </c>
      <c r="F9965">
        <v>-4104.09</v>
      </c>
    </row>
    <row r="9966" spans="1:6" hidden="1" x14ac:dyDescent="0.25">
      <c r="A9966" t="s">
        <v>697</v>
      </c>
      <c r="B9966" t="s">
        <v>36</v>
      </c>
      <c r="E9966" s="3">
        <f>HYPERLINK("https://sao.dolgi.msk.ru/account/1404126552/", 1404126552)</f>
        <v>1404126552</v>
      </c>
      <c r="F9966">
        <v>-4374</v>
      </c>
    </row>
    <row r="9967" spans="1:6" hidden="1" x14ac:dyDescent="0.25">
      <c r="A9967" t="s">
        <v>697</v>
      </c>
      <c r="B9967" t="s">
        <v>37</v>
      </c>
      <c r="E9967" s="3">
        <f>HYPERLINK("https://sao.dolgi.msk.ru/account/1404126704/", 1404126704)</f>
        <v>1404126704</v>
      </c>
      <c r="F9967">
        <v>-2362.42</v>
      </c>
    </row>
    <row r="9968" spans="1:6" hidden="1" x14ac:dyDescent="0.25">
      <c r="A9968" t="s">
        <v>697</v>
      </c>
      <c r="B9968" t="s">
        <v>38</v>
      </c>
      <c r="E9968" s="3">
        <f>HYPERLINK("https://sao.dolgi.msk.ru/account/1404126114/", 1404126114)</f>
        <v>1404126114</v>
      </c>
      <c r="F9968">
        <v>-4111.63</v>
      </c>
    </row>
    <row r="9969" spans="1:6" hidden="1" x14ac:dyDescent="0.25">
      <c r="A9969" t="s">
        <v>697</v>
      </c>
      <c r="B9969" t="s">
        <v>39</v>
      </c>
      <c r="E9969" s="3">
        <f>HYPERLINK("https://sao.dolgi.msk.ru/account/1404126202/", 1404126202)</f>
        <v>1404126202</v>
      </c>
      <c r="F9969">
        <v>-2401.88</v>
      </c>
    </row>
    <row r="9970" spans="1:6" x14ac:dyDescent="0.25">
      <c r="A9970" t="s">
        <v>697</v>
      </c>
      <c r="B9970" t="s">
        <v>40</v>
      </c>
      <c r="C9970" s="5" t="str">
        <f>" кв. "&amp;B9970</f>
        <v xml:space="preserve"> кв. 36</v>
      </c>
      <c r="D9970" s="5" t="str">
        <f>CONCATENATE(A9970,C9970)</f>
        <v>Смольная ул., дом 41 кв. 36</v>
      </c>
      <c r="E9970" s="3">
        <f>HYPERLINK("https://sao.dolgi.msk.ru/account/1404126325/", 1404126325)</f>
        <v>1404126325</v>
      </c>
      <c r="F9970">
        <v>114.38</v>
      </c>
    </row>
    <row r="9971" spans="1:6" hidden="1" x14ac:dyDescent="0.25">
      <c r="A9971" t="s">
        <v>697</v>
      </c>
      <c r="B9971" t="s">
        <v>41</v>
      </c>
      <c r="E9971" s="3">
        <f>HYPERLINK("https://sao.dolgi.msk.ru/account/1404126536/", 1404126536)</f>
        <v>1404126536</v>
      </c>
      <c r="F9971">
        <v>-2060.66</v>
      </c>
    </row>
    <row r="9972" spans="1:6" hidden="1" x14ac:dyDescent="0.25">
      <c r="A9972" t="s">
        <v>697</v>
      </c>
      <c r="B9972" t="s">
        <v>42</v>
      </c>
      <c r="E9972" s="3">
        <f>HYPERLINK("https://sao.dolgi.msk.ru/account/1404126835/", 1404126835)</f>
        <v>1404126835</v>
      </c>
      <c r="F9972">
        <v>-1770.47</v>
      </c>
    </row>
    <row r="9973" spans="1:6" hidden="1" x14ac:dyDescent="0.25">
      <c r="A9973" t="s">
        <v>697</v>
      </c>
      <c r="B9973" t="s">
        <v>43</v>
      </c>
      <c r="E9973" s="3">
        <f>HYPERLINK("https://sao.dolgi.msk.ru/account/1404126122/", 1404126122)</f>
        <v>1404126122</v>
      </c>
      <c r="F9973">
        <v>-3189.31</v>
      </c>
    </row>
    <row r="9974" spans="1:6" x14ac:dyDescent="0.25">
      <c r="A9974" t="s">
        <v>697</v>
      </c>
      <c r="B9974" t="s">
        <v>44</v>
      </c>
      <c r="C9974" s="5" t="str">
        <f>" кв. "&amp;B9974</f>
        <v xml:space="preserve"> кв. 40</v>
      </c>
      <c r="D9974" s="5" t="str">
        <f>CONCATENATE(A9974,C9974)</f>
        <v>Смольная ул., дом 41 кв. 40</v>
      </c>
      <c r="E9974" s="3">
        <f>HYPERLINK("https://sao.dolgi.msk.ru/account/1404126405/", 1404126405)</f>
        <v>1404126405</v>
      </c>
      <c r="F9974">
        <v>29624.68</v>
      </c>
    </row>
    <row r="9975" spans="1:6" hidden="1" x14ac:dyDescent="0.25">
      <c r="A9975" t="s">
        <v>697</v>
      </c>
      <c r="B9975" t="s">
        <v>45</v>
      </c>
      <c r="E9975" s="3">
        <f>HYPERLINK("https://sao.dolgi.msk.ru/account/1404126413/", 1404126413)</f>
        <v>1404126413</v>
      </c>
      <c r="F9975">
        <v>-3303.97</v>
      </c>
    </row>
    <row r="9976" spans="1:6" hidden="1" x14ac:dyDescent="0.25">
      <c r="A9976" t="s">
        <v>697</v>
      </c>
      <c r="B9976" t="s">
        <v>46</v>
      </c>
      <c r="E9976" s="3">
        <f>HYPERLINK("https://sao.dolgi.msk.ru/account/1404126843/", 1404126843)</f>
        <v>1404126843</v>
      </c>
      <c r="F9976">
        <v>-4372.13</v>
      </c>
    </row>
    <row r="9977" spans="1:6" hidden="1" x14ac:dyDescent="0.25">
      <c r="A9977" t="s">
        <v>697</v>
      </c>
      <c r="B9977" t="s">
        <v>47</v>
      </c>
      <c r="E9977" s="3">
        <f>HYPERLINK("https://sao.dolgi.msk.ru/account/1404126544/", 1404126544)</f>
        <v>1404126544</v>
      </c>
      <c r="F9977">
        <v>-4783.88</v>
      </c>
    </row>
    <row r="9978" spans="1:6" hidden="1" x14ac:dyDescent="0.25">
      <c r="A9978" t="s">
        <v>697</v>
      </c>
      <c r="B9978" t="s">
        <v>48</v>
      </c>
      <c r="E9978" s="3">
        <f>HYPERLINK("https://sao.dolgi.msk.ru/account/1404126421/", 1404126421)</f>
        <v>1404126421</v>
      </c>
      <c r="F9978">
        <v>-1623.32</v>
      </c>
    </row>
    <row r="9979" spans="1:6" x14ac:dyDescent="0.25">
      <c r="A9979" t="s">
        <v>697</v>
      </c>
      <c r="B9979" t="s">
        <v>49</v>
      </c>
      <c r="C9979" s="5" t="str">
        <f>" кв. "&amp;B9979</f>
        <v xml:space="preserve"> кв. 45</v>
      </c>
      <c r="D9979" s="5" t="str">
        <f>CONCATENATE(A9979,C9979)</f>
        <v>Смольная ул., дом 41 кв. 45</v>
      </c>
      <c r="E9979" s="3">
        <f>HYPERLINK("https://sao.dolgi.msk.ru/account/1404126579/", 1404126579)</f>
        <v>1404126579</v>
      </c>
      <c r="F9979">
        <v>13129.01</v>
      </c>
    </row>
    <row r="9980" spans="1:6" hidden="1" x14ac:dyDescent="0.25">
      <c r="A9980" t="s">
        <v>697</v>
      </c>
      <c r="B9980" t="s">
        <v>50</v>
      </c>
      <c r="E9980" s="3">
        <f>HYPERLINK("https://sao.dolgi.msk.ru/account/1404126587/", 1404126587)</f>
        <v>1404126587</v>
      </c>
      <c r="F9980">
        <v>-3442.69</v>
      </c>
    </row>
    <row r="9981" spans="1:6" hidden="1" x14ac:dyDescent="0.25">
      <c r="A9981" t="s">
        <v>697</v>
      </c>
      <c r="B9981" t="s">
        <v>51</v>
      </c>
      <c r="E9981" s="3">
        <f>HYPERLINK("https://sao.dolgi.msk.ru/account/1404126229/", 1404126229)</f>
        <v>1404126229</v>
      </c>
      <c r="F9981">
        <v>-3858.22</v>
      </c>
    </row>
    <row r="9982" spans="1:6" hidden="1" x14ac:dyDescent="0.25">
      <c r="A9982" t="s">
        <v>697</v>
      </c>
      <c r="B9982" t="s">
        <v>52</v>
      </c>
      <c r="E9982" s="3">
        <f>HYPERLINK("https://sao.dolgi.msk.ru/account/1404126237/", 1404126237)</f>
        <v>1404126237</v>
      </c>
      <c r="F9982">
        <v>-2673.54</v>
      </c>
    </row>
    <row r="9983" spans="1:6" hidden="1" x14ac:dyDescent="0.25">
      <c r="A9983" t="s">
        <v>697</v>
      </c>
      <c r="B9983" t="s">
        <v>53</v>
      </c>
      <c r="E9983" s="3">
        <f>HYPERLINK("https://sao.dolgi.msk.ru/account/1404126149/", 1404126149)</f>
        <v>1404126149</v>
      </c>
      <c r="F9983">
        <v>-2867.85</v>
      </c>
    </row>
    <row r="9984" spans="1:6" hidden="1" x14ac:dyDescent="0.25">
      <c r="A9984" t="s">
        <v>697</v>
      </c>
      <c r="B9984" t="s">
        <v>54</v>
      </c>
      <c r="E9984" s="3">
        <f>HYPERLINK("https://sao.dolgi.msk.ru/account/1404126157/", 1404126157)</f>
        <v>1404126157</v>
      </c>
      <c r="F9984">
        <v>0</v>
      </c>
    </row>
    <row r="9985" spans="1:6" hidden="1" x14ac:dyDescent="0.25">
      <c r="A9985" t="s">
        <v>697</v>
      </c>
      <c r="B9985" t="s">
        <v>55</v>
      </c>
      <c r="E9985" s="3">
        <f>HYPERLINK("https://sao.dolgi.msk.ru/account/1404126595/", 1404126595)</f>
        <v>1404126595</v>
      </c>
      <c r="F9985">
        <v>-1812.04</v>
      </c>
    </row>
    <row r="9986" spans="1:6" hidden="1" x14ac:dyDescent="0.25">
      <c r="A9986" t="s">
        <v>697</v>
      </c>
      <c r="B9986" t="s">
        <v>56</v>
      </c>
      <c r="E9986" s="3">
        <f>HYPERLINK("https://sao.dolgi.msk.ru/account/1404126712/", 1404126712)</f>
        <v>1404126712</v>
      </c>
      <c r="F9986">
        <v>-3307.39</v>
      </c>
    </row>
    <row r="9987" spans="1:6" hidden="1" x14ac:dyDescent="0.25">
      <c r="A9987" t="s">
        <v>697</v>
      </c>
      <c r="B9987" t="s">
        <v>57</v>
      </c>
      <c r="E9987" s="3">
        <f>HYPERLINK("https://sao.dolgi.msk.ru/account/1404126253/", 1404126253)</f>
        <v>1404126253</v>
      </c>
      <c r="F9987">
        <v>-3872.61</v>
      </c>
    </row>
    <row r="9988" spans="1:6" hidden="1" x14ac:dyDescent="0.25">
      <c r="A9988" t="s">
        <v>697</v>
      </c>
      <c r="B9988" t="s">
        <v>58</v>
      </c>
      <c r="E9988" s="3">
        <f>HYPERLINK("https://sao.dolgi.msk.ru/account/1404126341/", 1404126341)</f>
        <v>1404126341</v>
      </c>
      <c r="F9988">
        <v>-4586.99</v>
      </c>
    </row>
    <row r="9989" spans="1:6" x14ac:dyDescent="0.25">
      <c r="A9989" t="s">
        <v>697</v>
      </c>
      <c r="B9989" t="s">
        <v>59</v>
      </c>
      <c r="C9989" s="5" t="str">
        <f>" кв. "&amp;B9989</f>
        <v xml:space="preserve"> кв. 55</v>
      </c>
      <c r="D9989" s="5" t="str">
        <f>CONCATENATE(A9989,C9989)</f>
        <v>Смольная ул., дом 41 кв. 55</v>
      </c>
      <c r="E9989" s="3">
        <f>HYPERLINK("https://sao.dolgi.msk.ru/account/1404126261/", 1404126261)</f>
        <v>1404126261</v>
      </c>
      <c r="F9989">
        <v>2790.67</v>
      </c>
    </row>
    <row r="9990" spans="1:6" hidden="1" x14ac:dyDescent="0.25">
      <c r="A9990" t="s">
        <v>697</v>
      </c>
      <c r="B9990" t="s">
        <v>60</v>
      </c>
      <c r="E9990" s="3">
        <f>HYPERLINK("https://sao.dolgi.msk.ru/account/1404126288/", 1404126288)</f>
        <v>1404126288</v>
      </c>
      <c r="F9990">
        <v>-4705.04</v>
      </c>
    </row>
    <row r="9991" spans="1:6" hidden="1" x14ac:dyDescent="0.25">
      <c r="A9991" t="s">
        <v>697</v>
      </c>
      <c r="B9991" t="s">
        <v>61</v>
      </c>
      <c r="E9991" s="3">
        <f>HYPERLINK("https://sao.dolgi.msk.ru/account/1404126851/", 1404126851)</f>
        <v>1404126851</v>
      </c>
      <c r="F9991">
        <v>-3296.96</v>
      </c>
    </row>
    <row r="9992" spans="1:6" hidden="1" x14ac:dyDescent="0.25">
      <c r="A9992" t="s">
        <v>697</v>
      </c>
      <c r="B9992" t="s">
        <v>62</v>
      </c>
      <c r="E9992" s="3">
        <f>HYPERLINK("https://sao.dolgi.msk.ru/account/1404126448/", 1404126448)</f>
        <v>1404126448</v>
      </c>
      <c r="F9992">
        <v>-3075.17</v>
      </c>
    </row>
    <row r="9993" spans="1:6" hidden="1" x14ac:dyDescent="0.25">
      <c r="A9993" t="s">
        <v>697</v>
      </c>
      <c r="B9993" t="s">
        <v>63</v>
      </c>
      <c r="E9993" s="3">
        <f>HYPERLINK("https://sao.dolgi.msk.ru/account/1404126456/", 1404126456)</f>
        <v>1404126456</v>
      </c>
      <c r="F9993">
        <v>-3378.66</v>
      </c>
    </row>
    <row r="9994" spans="1:6" x14ac:dyDescent="0.25">
      <c r="A9994" t="s">
        <v>697</v>
      </c>
      <c r="B9994" t="s">
        <v>64</v>
      </c>
      <c r="C9994" s="5" t="str">
        <f>" кв. "&amp;B9994</f>
        <v xml:space="preserve"> кв. 60</v>
      </c>
      <c r="D9994" s="5" t="str">
        <f>CONCATENATE(A9994,C9994)</f>
        <v>Смольная ул., дом 41 кв. 60</v>
      </c>
      <c r="E9994" s="3">
        <f>HYPERLINK("https://sao.dolgi.msk.ru/account/1404126878/", 1404126878)</f>
        <v>1404126878</v>
      </c>
      <c r="F9994">
        <v>13136.46</v>
      </c>
    </row>
    <row r="9995" spans="1:6" hidden="1" x14ac:dyDescent="0.25">
      <c r="A9995" t="s">
        <v>697</v>
      </c>
      <c r="B9995" t="s">
        <v>65</v>
      </c>
      <c r="E9995" s="3">
        <f>HYPERLINK("https://sao.dolgi.msk.ru/account/1404126608/", 1404126608)</f>
        <v>1404126608</v>
      </c>
      <c r="F9995">
        <v>-5473.24</v>
      </c>
    </row>
    <row r="9996" spans="1:6" hidden="1" x14ac:dyDescent="0.25">
      <c r="A9996" t="s">
        <v>697</v>
      </c>
      <c r="B9996" t="s">
        <v>66</v>
      </c>
      <c r="E9996" s="3">
        <f>HYPERLINK("https://sao.dolgi.msk.ru/account/1404126464/", 1404126464)</f>
        <v>1404126464</v>
      </c>
      <c r="F9996">
        <v>-2513.25</v>
      </c>
    </row>
    <row r="9997" spans="1:6" x14ac:dyDescent="0.25">
      <c r="A9997" t="s">
        <v>697</v>
      </c>
      <c r="B9997" t="s">
        <v>67</v>
      </c>
      <c r="C9997" s="5" t="str">
        <f>" кв. "&amp;B9997</f>
        <v xml:space="preserve"> кв. 63</v>
      </c>
      <c r="D9997" s="5" t="str">
        <f>CONCATENATE(A9997,C9997)</f>
        <v>Смольная ул., дом 41 кв. 63</v>
      </c>
      <c r="E9997" s="3">
        <f>HYPERLINK("https://sao.dolgi.msk.ru/account/1404126165/", 1404126165)</f>
        <v>1404126165</v>
      </c>
      <c r="F9997">
        <v>82309.56</v>
      </c>
    </row>
    <row r="9998" spans="1:6" hidden="1" x14ac:dyDescent="0.25">
      <c r="A9998" t="s">
        <v>697</v>
      </c>
      <c r="B9998" t="s">
        <v>68</v>
      </c>
      <c r="E9998" s="3">
        <f>HYPERLINK("https://sao.dolgi.msk.ru/account/1404126886/", 1404126886)</f>
        <v>1404126886</v>
      </c>
      <c r="F9998">
        <v>-4252.34</v>
      </c>
    </row>
    <row r="9999" spans="1:6" hidden="1" x14ac:dyDescent="0.25">
      <c r="A9999" t="s">
        <v>697</v>
      </c>
      <c r="B9999" t="s">
        <v>69</v>
      </c>
      <c r="E9999" s="3">
        <f>HYPERLINK("https://sao.dolgi.msk.ru/account/1404126894/", 1404126894)</f>
        <v>1404126894</v>
      </c>
      <c r="F9999">
        <v>-2819.8</v>
      </c>
    </row>
    <row r="10000" spans="1:6" hidden="1" x14ac:dyDescent="0.25">
      <c r="A10000" t="s">
        <v>697</v>
      </c>
      <c r="B10000" t="s">
        <v>70</v>
      </c>
      <c r="E10000" s="3">
        <f>HYPERLINK("https://sao.dolgi.msk.ru/account/1404126296/", 1404126296)</f>
        <v>1404126296</v>
      </c>
      <c r="F10000">
        <v>-4010.3</v>
      </c>
    </row>
    <row r="10001" spans="1:6" hidden="1" x14ac:dyDescent="0.25">
      <c r="A10001" t="s">
        <v>697</v>
      </c>
      <c r="B10001" t="s">
        <v>71</v>
      </c>
      <c r="E10001" s="3">
        <f>HYPERLINK("https://sao.dolgi.msk.ru/account/1404126472/", 1404126472)</f>
        <v>1404126472</v>
      </c>
      <c r="F10001">
        <v>-3174.23</v>
      </c>
    </row>
    <row r="10002" spans="1:6" x14ac:dyDescent="0.25">
      <c r="A10002" t="s">
        <v>697</v>
      </c>
      <c r="B10002" t="s">
        <v>72</v>
      </c>
      <c r="C10002" s="5" t="str">
        <f>" кв. "&amp;B10002</f>
        <v xml:space="preserve"> кв. 68</v>
      </c>
      <c r="D10002" s="5" t="str">
        <f>CONCATENATE(A10002,C10002)</f>
        <v>Смольная ул., дом 41 кв. 68</v>
      </c>
      <c r="E10002" s="3">
        <f>HYPERLINK("https://sao.dolgi.msk.ru/account/1404126739/", 1404126739)</f>
        <v>1404126739</v>
      </c>
      <c r="F10002">
        <v>3277.88</v>
      </c>
    </row>
    <row r="10003" spans="1:6" hidden="1" x14ac:dyDescent="0.25">
      <c r="A10003" t="s">
        <v>697</v>
      </c>
      <c r="B10003" t="s">
        <v>73</v>
      </c>
      <c r="E10003" s="3">
        <f>HYPERLINK("https://sao.dolgi.msk.ru/account/1404126907/", 1404126907)</f>
        <v>1404126907</v>
      </c>
      <c r="F10003">
        <v>-5690.41</v>
      </c>
    </row>
    <row r="10004" spans="1:6" hidden="1" x14ac:dyDescent="0.25">
      <c r="A10004" t="s">
        <v>697</v>
      </c>
      <c r="B10004" t="s">
        <v>74</v>
      </c>
      <c r="E10004" s="3">
        <f>HYPERLINK("https://sao.dolgi.msk.ru/account/1404126624/", 1404126624)</f>
        <v>1404126624</v>
      </c>
      <c r="F10004">
        <v>0</v>
      </c>
    </row>
    <row r="10005" spans="1:6" hidden="1" x14ac:dyDescent="0.25">
      <c r="A10005" t="s">
        <v>697</v>
      </c>
      <c r="B10005" t="s">
        <v>75</v>
      </c>
      <c r="E10005" s="3">
        <f>HYPERLINK("https://sao.dolgi.msk.ru/account/1404126632/", 1404126632)</f>
        <v>1404126632</v>
      </c>
      <c r="F10005">
        <v>-19936.349999999999</v>
      </c>
    </row>
    <row r="10006" spans="1:6" x14ac:dyDescent="0.25">
      <c r="A10006" t="s">
        <v>697</v>
      </c>
      <c r="B10006" t="s">
        <v>76</v>
      </c>
      <c r="C10006" s="5" t="str">
        <f>" кв. "&amp;B10006</f>
        <v xml:space="preserve"> кв. 72</v>
      </c>
      <c r="D10006" s="5" t="str">
        <f>CONCATENATE(A10006,C10006)</f>
        <v>Смольная ул., дом 41 кв. 72</v>
      </c>
      <c r="E10006" s="3">
        <f>HYPERLINK("https://sao.dolgi.msk.ru/account/1404126499/", 1404126499)</f>
        <v>1404126499</v>
      </c>
      <c r="F10006">
        <v>2975.95</v>
      </c>
    </row>
    <row r="10007" spans="1:6" hidden="1" x14ac:dyDescent="0.25">
      <c r="A10007" t="s">
        <v>698</v>
      </c>
      <c r="B10007" t="s">
        <v>5</v>
      </c>
      <c r="E10007" s="3">
        <f>HYPERLINK("https://sao.dolgi.msk.ru/account/1404127109/", 1404127109)</f>
        <v>1404127109</v>
      </c>
      <c r="F10007">
        <v>-1238.48</v>
      </c>
    </row>
    <row r="10008" spans="1:6" x14ac:dyDescent="0.25">
      <c r="A10008" t="s">
        <v>698</v>
      </c>
      <c r="B10008" t="s">
        <v>6</v>
      </c>
      <c r="C10008" s="5" t="str">
        <f>" кв. "&amp;B10008</f>
        <v xml:space="preserve"> кв. 2</v>
      </c>
      <c r="D10008" s="5" t="str">
        <f>CONCATENATE(A10008,C10008)</f>
        <v>Смольная ул., дом 43 кв. 2</v>
      </c>
      <c r="E10008" s="3">
        <f>HYPERLINK("https://sao.dolgi.msk.ru/account/1404127125/", 1404127125)</f>
        <v>1404127125</v>
      </c>
      <c r="F10008">
        <v>136196.35999999999</v>
      </c>
    </row>
    <row r="10009" spans="1:6" hidden="1" x14ac:dyDescent="0.25">
      <c r="A10009" t="s">
        <v>698</v>
      </c>
      <c r="B10009" t="s">
        <v>7</v>
      </c>
      <c r="E10009" s="3">
        <f>HYPERLINK("https://sao.dolgi.msk.ru/account/1404127256/", 1404127256)</f>
        <v>1404127256</v>
      </c>
      <c r="F10009">
        <v>-4070.03</v>
      </c>
    </row>
    <row r="10010" spans="1:6" x14ac:dyDescent="0.25">
      <c r="A10010" t="s">
        <v>698</v>
      </c>
      <c r="B10010" t="s">
        <v>8</v>
      </c>
      <c r="C10010" s="5" t="str">
        <f>" кв. "&amp;B10010</f>
        <v xml:space="preserve"> кв. 4</v>
      </c>
      <c r="D10010" s="5" t="str">
        <f>CONCATENATE(A10010,C10010)</f>
        <v>Смольная ул., дом 43 кв. 4</v>
      </c>
      <c r="E10010" s="3">
        <f>HYPERLINK("https://sao.dolgi.msk.ru/account/1404127491/", 1404127491)</f>
        <v>1404127491</v>
      </c>
      <c r="F10010">
        <v>1751.14</v>
      </c>
    </row>
    <row r="10011" spans="1:6" hidden="1" x14ac:dyDescent="0.25">
      <c r="A10011" t="s">
        <v>698</v>
      </c>
      <c r="B10011" t="s">
        <v>9</v>
      </c>
      <c r="E10011" s="3">
        <f>HYPERLINK("https://sao.dolgi.msk.ru/account/1404127766/", 1404127766)</f>
        <v>1404127766</v>
      </c>
      <c r="F10011">
        <v>-1526.27</v>
      </c>
    </row>
    <row r="10012" spans="1:6" hidden="1" x14ac:dyDescent="0.25">
      <c r="A10012" t="s">
        <v>698</v>
      </c>
      <c r="B10012" t="s">
        <v>10</v>
      </c>
      <c r="E10012" s="3">
        <f>HYPERLINK("https://sao.dolgi.msk.ru/account/1404126974/", 1404126974)</f>
        <v>1404126974</v>
      </c>
      <c r="F10012">
        <v>-379.89</v>
      </c>
    </row>
    <row r="10013" spans="1:6" hidden="1" x14ac:dyDescent="0.25">
      <c r="A10013" t="s">
        <v>698</v>
      </c>
      <c r="B10013" t="s">
        <v>10</v>
      </c>
      <c r="E10013" s="3">
        <f>HYPERLINK("https://sao.dolgi.msk.ru/account/1404155484/", 1404155484)</f>
        <v>1404155484</v>
      </c>
      <c r="F10013">
        <v>-2118.5100000000002</v>
      </c>
    </row>
    <row r="10014" spans="1:6" hidden="1" x14ac:dyDescent="0.25">
      <c r="A10014" t="s">
        <v>698</v>
      </c>
      <c r="B10014" t="s">
        <v>11</v>
      </c>
      <c r="E10014" s="3">
        <f>HYPERLINK("https://sao.dolgi.msk.ru/account/1404127811/", 1404127811)</f>
        <v>1404127811</v>
      </c>
      <c r="F10014">
        <v>-4239.7700000000004</v>
      </c>
    </row>
    <row r="10015" spans="1:6" hidden="1" x14ac:dyDescent="0.25">
      <c r="A10015" t="s">
        <v>698</v>
      </c>
      <c r="B10015" t="s">
        <v>12</v>
      </c>
      <c r="E10015" s="3">
        <f>HYPERLINK("https://sao.dolgi.msk.ru/account/1404127424/", 1404127424)</f>
        <v>1404127424</v>
      </c>
      <c r="F10015">
        <v>-882</v>
      </c>
    </row>
    <row r="10016" spans="1:6" hidden="1" x14ac:dyDescent="0.25">
      <c r="A10016" t="s">
        <v>698</v>
      </c>
      <c r="B10016" t="s">
        <v>13</v>
      </c>
      <c r="E10016" s="3">
        <f>HYPERLINK("https://sao.dolgi.msk.ru/account/1404127563/", 1404127563)</f>
        <v>1404127563</v>
      </c>
      <c r="F10016">
        <v>-2947.62</v>
      </c>
    </row>
    <row r="10017" spans="1:6" x14ac:dyDescent="0.25">
      <c r="A10017" t="s">
        <v>698</v>
      </c>
      <c r="B10017" t="s">
        <v>14</v>
      </c>
      <c r="C10017" s="5" t="str">
        <f>" кв. "&amp;B10017</f>
        <v xml:space="preserve"> кв. 10</v>
      </c>
      <c r="D10017" s="5" t="str">
        <f>CONCATENATE(A10017,C10017)</f>
        <v>Смольная ул., дом 43 кв. 10</v>
      </c>
      <c r="E10017" s="3">
        <f>HYPERLINK("https://sao.dolgi.msk.ru/account/1404127213/", 1404127213)</f>
        <v>1404127213</v>
      </c>
      <c r="F10017">
        <v>630.13</v>
      </c>
    </row>
    <row r="10018" spans="1:6" hidden="1" x14ac:dyDescent="0.25">
      <c r="A10018" t="s">
        <v>698</v>
      </c>
      <c r="B10018" t="s">
        <v>15</v>
      </c>
      <c r="E10018" s="3">
        <f>HYPERLINK("https://sao.dolgi.msk.ru/account/1404127117/", 1404127117)</f>
        <v>1404127117</v>
      </c>
      <c r="F10018">
        <v>0</v>
      </c>
    </row>
    <row r="10019" spans="1:6" hidden="1" x14ac:dyDescent="0.25">
      <c r="A10019" t="s">
        <v>698</v>
      </c>
      <c r="B10019" t="s">
        <v>16</v>
      </c>
      <c r="E10019" s="3">
        <f>HYPERLINK("https://sao.dolgi.msk.ru/account/1404126915/", 1404126915)</f>
        <v>1404126915</v>
      </c>
      <c r="F10019">
        <v>-10024.08</v>
      </c>
    </row>
    <row r="10020" spans="1:6" hidden="1" x14ac:dyDescent="0.25">
      <c r="A10020" t="s">
        <v>698</v>
      </c>
      <c r="B10020" t="s">
        <v>17</v>
      </c>
      <c r="E10020" s="3">
        <f>HYPERLINK("https://sao.dolgi.msk.ru/account/1404127432/", 1404127432)</f>
        <v>1404127432</v>
      </c>
      <c r="F10020">
        <v>-4167.1499999999996</v>
      </c>
    </row>
    <row r="10021" spans="1:6" hidden="1" x14ac:dyDescent="0.25">
      <c r="A10021" t="s">
        <v>698</v>
      </c>
      <c r="B10021" t="s">
        <v>18</v>
      </c>
      <c r="E10021" s="3">
        <f>HYPERLINK("https://sao.dolgi.msk.ru/account/1404127221/", 1404127221)</f>
        <v>1404127221</v>
      </c>
      <c r="F10021">
        <v>-4884.57</v>
      </c>
    </row>
    <row r="10022" spans="1:6" hidden="1" x14ac:dyDescent="0.25">
      <c r="A10022" t="s">
        <v>698</v>
      </c>
      <c r="B10022" t="s">
        <v>19</v>
      </c>
      <c r="E10022" s="3">
        <f>HYPERLINK("https://sao.dolgi.msk.ru/account/1404127459/", 1404127459)</f>
        <v>1404127459</v>
      </c>
      <c r="F10022">
        <v>-5752.89</v>
      </c>
    </row>
    <row r="10023" spans="1:6" hidden="1" x14ac:dyDescent="0.25">
      <c r="A10023" t="s">
        <v>698</v>
      </c>
      <c r="B10023" t="s">
        <v>20</v>
      </c>
      <c r="E10023" s="3">
        <f>HYPERLINK("https://sao.dolgi.msk.ru/account/1404127467/", 1404127467)</f>
        <v>1404127467</v>
      </c>
      <c r="F10023">
        <v>-3661.88</v>
      </c>
    </row>
    <row r="10024" spans="1:6" hidden="1" x14ac:dyDescent="0.25">
      <c r="A10024" t="s">
        <v>698</v>
      </c>
      <c r="B10024" t="s">
        <v>21</v>
      </c>
      <c r="E10024" s="3">
        <f>HYPERLINK("https://sao.dolgi.msk.ru/account/1404127475/", 1404127475)</f>
        <v>1404127475</v>
      </c>
      <c r="F10024">
        <v>-3610.93</v>
      </c>
    </row>
    <row r="10025" spans="1:6" hidden="1" x14ac:dyDescent="0.25">
      <c r="A10025" t="s">
        <v>698</v>
      </c>
      <c r="B10025" t="s">
        <v>22</v>
      </c>
      <c r="E10025" s="3">
        <f>HYPERLINK("https://sao.dolgi.msk.ru/account/1404127707/", 1404127707)</f>
        <v>1404127707</v>
      </c>
      <c r="F10025">
        <v>-4024.41</v>
      </c>
    </row>
    <row r="10026" spans="1:6" hidden="1" x14ac:dyDescent="0.25">
      <c r="A10026" t="s">
        <v>698</v>
      </c>
      <c r="B10026" t="s">
        <v>23</v>
      </c>
      <c r="E10026" s="3">
        <f>HYPERLINK("https://sao.dolgi.msk.ru/account/1404127037/", 1404127037)</f>
        <v>1404127037</v>
      </c>
      <c r="F10026">
        <v>-870.43</v>
      </c>
    </row>
    <row r="10027" spans="1:6" x14ac:dyDescent="0.25">
      <c r="A10027" t="s">
        <v>698</v>
      </c>
      <c r="B10027" t="s">
        <v>24</v>
      </c>
      <c r="C10027" s="5" t="str">
        <f>" кв. "&amp;B10027</f>
        <v xml:space="preserve"> кв. 20</v>
      </c>
      <c r="D10027" s="5" t="str">
        <f>CONCATENATE(A10027,C10027)</f>
        <v>Смольная ул., дом 43 кв. 20</v>
      </c>
      <c r="E10027" s="3">
        <f>HYPERLINK("https://sao.dolgi.msk.ru/account/1404127248/", 1404127248)</f>
        <v>1404127248</v>
      </c>
      <c r="F10027">
        <v>1071.1300000000001</v>
      </c>
    </row>
    <row r="10028" spans="1:6" hidden="1" x14ac:dyDescent="0.25">
      <c r="A10028" t="s">
        <v>698</v>
      </c>
      <c r="B10028" t="s">
        <v>25</v>
      </c>
      <c r="E10028" s="3">
        <f>HYPERLINK("https://sao.dolgi.msk.ru/account/1404127715/", 1404127715)</f>
        <v>1404127715</v>
      </c>
      <c r="F10028">
        <v>-3478.86</v>
      </c>
    </row>
    <row r="10029" spans="1:6" hidden="1" x14ac:dyDescent="0.25">
      <c r="A10029" t="s">
        <v>698</v>
      </c>
      <c r="B10029" t="s">
        <v>26</v>
      </c>
      <c r="E10029" s="3">
        <f>HYPERLINK("https://sao.dolgi.msk.ru/account/1404127598/", 1404127598)</f>
        <v>1404127598</v>
      </c>
      <c r="F10029">
        <v>-4222.41</v>
      </c>
    </row>
    <row r="10030" spans="1:6" hidden="1" x14ac:dyDescent="0.25">
      <c r="A10030" t="s">
        <v>698</v>
      </c>
      <c r="B10030" t="s">
        <v>27</v>
      </c>
      <c r="E10030" s="3">
        <f>HYPERLINK("https://sao.dolgi.msk.ru/account/1404127723/", 1404127723)</f>
        <v>1404127723</v>
      </c>
      <c r="F10030">
        <v>-3360.09</v>
      </c>
    </row>
    <row r="10031" spans="1:6" hidden="1" x14ac:dyDescent="0.25">
      <c r="A10031" t="s">
        <v>698</v>
      </c>
      <c r="B10031" t="s">
        <v>28</v>
      </c>
      <c r="E10031" s="3">
        <f>HYPERLINK("https://sao.dolgi.msk.ru/account/1404127133/", 1404127133)</f>
        <v>1404127133</v>
      </c>
      <c r="F10031">
        <v>-2858.59</v>
      </c>
    </row>
    <row r="10032" spans="1:6" hidden="1" x14ac:dyDescent="0.25">
      <c r="A10032" t="s">
        <v>698</v>
      </c>
      <c r="B10032" t="s">
        <v>29</v>
      </c>
      <c r="E10032" s="3">
        <f>HYPERLINK("https://sao.dolgi.msk.ru/account/1404127328/", 1404127328)</f>
        <v>1404127328</v>
      </c>
      <c r="F10032">
        <v>-1572.79</v>
      </c>
    </row>
    <row r="10033" spans="1:6" hidden="1" x14ac:dyDescent="0.25">
      <c r="A10033" t="s">
        <v>698</v>
      </c>
      <c r="B10033" t="s">
        <v>30</v>
      </c>
      <c r="E10033" s="3">
        <f>HYPERLINK("https://sao.dolgi.msk.ru/account/1404127141/", 1404127141)</f>
        <v>1404127141</v>
      </c>
      <c r="F10033">
        <v>-1611</v>
      </c>
    </row>
    <row r="10034" spans="1:6" hidden="1" x14ac:dyDescent="0.25">
      <c r="A10034" t="s">
        <v>698</v>
      </c>
      <c r="B10034" t="s">
        <v>31</v>
      </c>
      <c r="E10034" s="3">
        <f>HYPERLINK("https://sao.dolgi.msk.ru/account/1404127619/", 1404127619)</f>
        <v>1404127619</v>
      </c>
      <c r="F10034">
        <v>-699.3</v>
      </c>
    </row>
    <row r="10035" spans="1:6" hidden="1" x14ac:dyDescent="0.25">
      <c r="A10035" t="s">
        <v>698</v>
      </c>
      <c r="B10035" t="s">
        <v>32</v>
      </c>
      <c r="E10035" s="3">
        <f>HYPERLINK("https://sao.dolgi.msk.ru/account/1404126923/", 1404126923)</f>
        <v>1404126923</v>
      </c>
      <c r="F10035">
        <v>-4799.54</v>
      </c>
    </row>
    <row r="10036" spans="1:6" hidden="1" x14ac:dyDescent="0.25">
      <c r="A10036" t="s">
        <v>698</v>
      </c>
      <c r="B10036" t="s">
        <v>33</v>
      </c>
      <c r="E10036" s="3">
        <f>HYPERLINK("https://sao.dolgi.msk.ru/account/1404126931/", 1404126931)</f>
        <v>1404126931</v>
      </c>
      <c r="F10036">
        <v>0</v>
      </c>
    </row>
    <row r="10037" spans="1:6" hidden="1" x14ac:dyDescent="0.25">
      <c r="A10037" t="s">
        <v>698</v>
      </c>
      <c r="B10037" t="s">
        <v>34</v>
      </c>
      <c r="E10037" s="3">
        <f>HYPERLINK("https://sao.dolgi.msk.ru/account/1404126958/", 1404126958)</f>
        <v>1404126958</v>
      </c>
      <c r="F10037">
        <v>-3096.36</v>
      </c>
    </row>
    <row r="10038" spans="1:6" hidden="1" x14ac:dyDescent="0.25">
      <c r="A10038" t="s">
        <v>698</v>
      </c>
      <c r="B10038" t="s">
        <v>35</v>
      </c>
      <c r="E10038" s="3">
        <f>HYPERLINK("https://sao.dolgi.msk.ru/account/1404127045/", 1404127045)</f>
        <v>1404127045</v>
      </c>
      <c r="F10038">
        <v>-5022.4399999999996</v>
      </c>
    </row>
    <row r="10039" spans="1:6" hidden="1" x14ac:dyDescent="0.25">
      <c r="A10039" t="s">
        <v>698</v>
      </c>
      <c r="B10039" t="s">
        <v>36</v>
      </c>
      <c r="E10039" s="3">
        <f>HYPERLINK("https://sao.dolgi.msk.ru/account/1404127264/", 1404127264)</f>
        <v>1404127264</v>
      </c>
      <c r="F10039">
        <v>-4734.6400000000003</v>
      </c>
    </row>
    <row r="10040" spans="1:6" hidden="1" x14ac:dyDescent="0.25">
      <c r="A10040" t="s">
        <v>698</v>
      </c>
      <c r="B10040" t="s">
        <v>37</v>
      </c>
      <c r="E10040" s="3">
        <f>HYPERLINK("https://sao.dolgi.msk.ru/account/1404127627/", 1404127627)</f>
        <v>1404127627</v>
      </c>
      <c r="F10040">
        <v>-1549.12</v>
      </c>
    </row>
    <row r="10041" spans="1:6" hidden="1" x14ac:dyDescent="0.25">
      <c r="A10041" t="s">
        <v>698</v>
      </c>
      <c r="B10041" t="s">
        <v>38</v>
      </c>
      <c r="E10041" s="3">
        <f>HYPERLINK("https://sao.dolgi.msk.ru/account/1404127336/", 1404127336)</f>
        <v>1404127336</v>
      </c>
      <c r="F10041">
        <v>-5075.3599999999997</v>
      </c>
    </row>
    <row r="10042" spans="1:6" hidden="1" x14ac:dyDescent="0.25">
      <c r="A10042" t="s">
        <v>698</v>
      </c>
      <c r="B10042" t="s">
        <v>39</v>
      </c>
      <c r="E10042" s="3">
        <f>HYPERLINK("https://sao.dolgi.msk.ru/account/1404127483/", 1404127483)</f>
        <v>1404127483</v>
      </c>
      <c r="F10042">
        <v>-6180.38</v>
      </c>
    </row>
    <row r="10043" spans="1:6" hidden="1" x14ac:dyDescent="0.25">
      <c r="A10043" t="s">
        <v>698</v>
      </c>
      <c r="B10043" t="s">
        <v>40</v>
      </c>
      <c r="E10043" s="3">
        <f>HYPERLINK("https://sao.dolgi.msk.ru/account/1404127635/", 1404127635)</f>
        <v>1404127635</v>
      </c>
      <c r="F10043">
        <v>-7165.1</v>
      </c>
    </row>
    <row r="10044" spans="1:6" hidden="1" x14ac:dyDescent="0.25">
      <c r="A10044" t="s">
        <v>698</v>
      </c>
      <c r="B10044" t="s">
        <v>41</v>
      </c>
      <c r="E10044" s="3">
        <f>HYPERLINK("https://sao.dolgi.msk.ru/account/1404127344/", 1404127344)</f>
        <v>1404127344</v>
      </c>
      <c r="F10044">
        <v>-3690.35</v>
      </c>
    </row>
    <row r="10045" spans="1:6" hidden="1" x14ac:dyDescent="0.25">
      <c r="A10045" t="s">
        <v>698</v>
      </c>
      <c r="B10045" t="s">
        <v>42</v>
      </c>
      <c r="E10045" s="3">
        <f>HYPERLINK("https://sao.dolgi.msk.ru/account/1404127352/", 1404127352)</f>
        <v>1404127352</v>
      </c>
      <c r="F10045">
        <v>-2636.89</v>
      </c>
    </row>
    <row r="10046" spans="1:6" hidden="1" x14ac:dyDescent="0.25">
      <c r="A10046" t="s">
        <v>698</v>
      </c>
      <c r="B10046" t="s">
        <v>43</v>
      </c>
      <c r="E10046" s="3">
        <f>HYPERLINK("https://sao.dolgi.msk.ru/account/1404127643/", 1404127643)</f>
        <v>1404127643</v>
      </c>
      <c r="F10046">
        <v>-3999.03</v>
      </c>
    </row>
    <row r="10047" spans="1:6" hidden="1" x14ac:dyDescent="0.25">
      <c r="A10047" t="s">
        <v>698</v>
      </c>
      <c r="B10047" t="s">
        <v>44</v>
      </c>
      <c r="E10047" s="3">
        <f>HYPERLINK("https://sao.dolgi.msk.ru/account/1404127379/", 1404127379)</f>
        <v>1404127379</v>
      </c>
      <c r="F10047">
        <v>0</v>
      </c>
    </row>
    <row r="10048" spans="1:6" hidden="1" x14ac:dyDescent="0.25">
      <c r="A10048" t="s">
        <v>698</v>
      </c>
      <c r="B10048" t="s">
        <v>45</v>
      </c>
      <c r="E10048" s="3">
        <f>HYPERLINK("https://sao.dolgi.msk.ru/account/1404127651/", 1404127651)</f>
        <v>1404127651</v>
      </c>
      <c r="F10048">
        <v>-4311.26</v>
      </c>
    </row>
    <row r="10049" spans="1:6" x14ac:dyDescent="0.25">
      <c r="A10049" t="s">
        <v>698</v>
      </c>
      <c r="B10049" t="s">
        <v>46</v>
      </c>
      <c r="C10049" s="5" t="str">
        <f t="shared" ref="C10049:C10050" si="438">" кв. "&amp;B10049</f>
        <v xml:space="preserve"> кв. 42</v>
      </c>
      <c r="D10049" s="5" t="str">
        <f>CONCATENATE(A10049,C10049)</f>
        <v>Смольная ул., дом 43 кв. 42</v>
      </c>
      <c r="E10049" s="3">
        <f>HYPERLINK("https://sao.dolgi.msk.ru/account/1404127053/", 1404127053)</f>
        <v>1404127053</v>
      </c>
      <c r="F10049">
        <v>6282.74</v>
      </c>
    </row>
    <row r="10050" spans="1:6" x14ac:dyDescent="0.25">
      <c r="A10050" t="s">
        <v>698</v>
      </c>
      <c r="B10050" t="s">
        <v>47</v>
      </c>
      <c r="C10050" s="5" t="str">
        <f t="shared" si="438"/>
        <v xml:space="preserve"> кв. 43</v>
      </c>
      <c r="D10050" s="5" t="str">
        <f>CONCATENATE(A10050,C10050)</f>
        <v>Смольная ул., дом 43 кв. 43</v>
      </c>
      <c r="E10050" s="3">
        <f>HYPERLINK("https://sao.dolgi.msk.ru/account/1404127168/", 1404127168)</f>
        <v>1404127168</v>
      </c>
      <c r="F10050">
        <v>4665.76</v>
      </c>
    </row>
    <row r="10051" spans="1:6" hidden="1" x14ac:dyDescent="0.25">
      <c r="A10051" t="s">
        <v>698</v>
      </c>
      <c r="B10051" t="s">
        <v>48</v>
      </c>
      <c r="E10051" s="3">
        <f>HYPERLINK("https://sao.dolgi.msk.ru/account/1404127731/", 1404127731)</f>
        <v>1404127731</v>
      </c>
      <c r="F10051">
        <v>0</v>
      </c>
    </row>
    <row r="10052" spans="1:6" hidden="1" x14ac:dyDescent="0.25">
      <c r="A10052" t="s">
        <v>698</v>
      </c>
      <c r="B10052" t="s">
        <v>49</v>
      </c>
      <c r="E10052" s="3">
        <f>HYPERLINK("https://sao.dolgi.msk.ru/account/1404127387/", 1404127387)</f>
        <v>1404127387</v>
      </c>
      <c r="F10052">
        <v>-3455.59</v>
      </c>
    </row>
    <row r="10053" spans="1:6" hidden="1" x14ac:dyDescent="0.25">
      <c r="A10053" t="s">
        <v>698</v>
      </c>
      <c r="B10053" t="s">
        <v>50</v>
      </c>
      <c r="E10053" s="3">
        <f>HYPERLINK("https://sao.dolgi.msk.ru/account/1404127758/", 1404127758)</f>
        <v>1404127758</v>
      </c>
      <c r="F10053">
        <v>0</v>
      </c>
    </row>
    <row r="10054" spans="1:6" hidden="1" x14ac:dyDescent="0.25">
      <c r="A10054" t="s">
        <v>698</v>
      </c>
      <c r="B10054" t="s">
        <v>51</v>
      </c>
      <c r="E10054" s="3">
        <f>HYPERLINK("https://sao.dolgi.msk.ru/account/1404127504/", 1404127504)</f>
        <v>1404127504</v>
      </c>
      <c r="F10054">
        <v>-5510.72</v>
      </c>
    </row>
    <row r="10055" spans="1:6" hidden="1" x14ac:dyDescent="0.25">
      <c r="A10055" t="s">
        <v>698</v>
      </c>
      <c r="B10055" t="s">
        <v>52</v>
      </c>
      <c r="E10055" s="3">
        <f>HYPERLINK("https://sao.dolgi.msk.ru/account/1404127272/", 1404127272)</f>
        <v>1404127272</v>
      </c>
      <c r="F10055">
        <v>0</v>
      </c>
    </row>
    <row r="10056" spans="1:6" hidden="1" x14ac:dyDescent="0.25">
      <c r="A10056" t="s">
        <v>698</v>
      </c>
      <c r="B10056" t="s">
        <v>53</v>
      </c>
      <c r="E10056" s="3">
        <f>HYPERLINK("https://sao.dolgi.msk.ru/account/1404127512/", 1404127512)</f>
        <v>1404127512</v>
      </c>
      <c r="F10056">
        <v>-3164.27</v>
      </c>
    </row>
    <row r="10057" spans="1:6" hidden="1" x14ac:dyDescent="0.25">
      <c r="A10057" t="s">
        <v>698</v>
      </c>
      <c r="B10057" t="s">
        <v>54</v>
      </c>
      <c r="E10057" s="3">
        <f>HYPERLINK("https://sao.dolgi.msk.ru/account/1404127176/", 1404127176)</f>
        <v>1404127176</v>
      </c>
      <c r="F10057">
        <v>-3616.36</v>
      </c>
    </row>
    <row r="10058" spans="1:6" x14ac:dyDescent="0.25">
      <c r="A10058" t="s">
        <v>698</v>
      </c>
      <c r="B10058" t="s">
        <v>55</v>
      </c>
      <c r="C10058" s="5" t="str">
        <f>" кв. "&amp;B10058</f>
        <v xml:space="preserve"> кв. 51</v>
      </c>
      <c r="D10058" s="5" t="str">
        <f>CONCATENATE(A10058,C10058)</f>
        <v>Смольная ул., дом 43 кв. 51</v>
      </c>
      <c r="E10058" s="3">
        <f>HYPERLINK("https://sao.dolgi.msk.ru/account/1404127539/", 1404127539)</f>
        <v>1404127539</v>
      </c>
      <c r="F10058">
        <v>38374.71</v>
      </c>
    </row>
    <row r="10059" spans="1:6" hidden="1" x14ac:dyDescent="0.25">
      <c r="A10059" t="s">
        <v>698</v>
      </c>
      <c r="B10059" t="s">
        <v>56</v>
      </c>
      <c r="E10059" s="3">
        <f>HYPERLINK("https://sao.dolgi.msk.ru/account/1404127774/", 1404127774)</f>
        <v>1404127774</v>
      </c>
      <c r="F10059">
        <v>-3719.01</v>
      </c>
    </row>
    <row r="10060" spans="1:6" x14ac:dyDescent="0.25">
      <c r="A10060" t="s">
        <v>698</v>
      </c>
      <c r="B10060" t="s">
        <v>57</v>
      </c>
      <c r="C10060" s="5" t="str">
        <f>" кв. "&amp;B10060</f>
        <v xml:space="preserve"> кв. 53</v>
      </c>
      <c r="D10060" s="5" t="str">
        <f>CONCATENATE(A10060,C10060)</f>
        <v>Смольная ул., дом 43 кв. 53</v>
      </c>
      <c r="E10060" s="3">
        <f>HYPERLINK("https://sao.dolgi.msk.ru/account/1404127782/", 1404127782)</f>
        <v>1404127782</v>
      </c>
      <c r="F10060">
        <v>3671</v>
      </c>
    </row>
    <row r="10061" spans="1:6" hidden="1" x14ac:dyDescent="0.25">
      <c r="A10061" t="s">
        <v>698</v>
      </c>
      <c r="B10061" t="s">
        <v>58</v>
      </c>
      <c r="E10061" s="3">
        <f>HYPERLINK("https://sao.dolgi.msk.ru/account/1404127395/", 1404127395)</f>
        <v>1404127395</v>
      </c>
      <c r="F10061">
        <v>-3092.53</v>
      </c>
    </row>
    <row r="10062" spans="1:6" hidden="1" x14ac:dyDescent="0.25">
      <c r="A10062" t="s">
        <v>698</v>
      </c>
      <c r="B10062" t="s">
        <v>59</v>
      </c>
      <c r="E10062" s="3">
        <f>HYPERLINK("https://sao.dolgi.msk.ru/account/1404127694/", 1404127694)</f>
        <v>1404127694</v>
      </c>
      <c r="F10062">
        <v>-1991.04</v>
      </c>
    </row>
    <row r="10063" spans="1:6" hidden="1" x14ac:dyDescent="0.25">
      <c r="A10063" t="s">
        <v>698</v>
      </c>
      <c r="B10063" t="s">
        <v>59</v>
      </c>
      <c r="E10063" s="3">
        <f>HYPERLINK("https://sao.dolgi.msk.ru/account/1404127803/", 1404127803)</f>
        <v>1404127803</v>
      </c>
      <c r="F10063">
        <v>-1870.25</v>
      </c>
    </row>
    <row r="10064" spans="1:6" hidden="1" x14ac:dyDescent="0.25">
      <c r="A10064" t="s">
        <v>698</v>
      </c>
      <c r="B10064" t="s">
        <v>60</v>
      </c>
      <c r="E10064" s="3">
        <f>HYPERLINK("https://sao.dolgi.msk.ru/account/1404127678/", 1404127678)</f>
        <v>1404127678</v>
      </c>
      <c r="F10064">
        <v>-3321.65</v>
      </c>
    </row>
    <row r="10065" spans="1:6" hidden="1" x14ac:dyDescent="0.25">
      <c r="A10065" t="s">
        <v>698</v>
      </c>
      <c r="B10065" t="s">
        <v>61</v>
      </c>
      <c r="E10065" s="3">
        <f>HYPERLINK("https://sao.dolgi.msk.ru/account/1404127299/", 1404127299)</f>
        <v>1404127299</v>
      </c>
      <c r="F10065">
        <v>-1531.99</v>
      </c>
    </row>
    <row r="10066" spans="1:6" hidden="1" x14ac:dyDescent="0.25">
      <c r="A10066" t="s">
        <v>698</v>
      </c>
      <c r="B10066" t="s">
        <v>62</v>
      </c>
      <c r="E10066" s="3">
        <f>HYPERLINK("https://sao.dolgi.msk.ru/account/1404127408/", 1404127408)</f>
        <v>1404127408</v>
      </c>
      <c r="F10066">
        <v>0</v>
      </c>
    </row>
    <row r="10067" spans="1:6" hidden="1" x14ac:dyDescent="0.25">
      <c r="A10067" t="s">
        <v>698</v>
      </c>
      <c r="B10067" t="s">
        <v>63</v>
      </c>
      <c r="E10067" s="3">
        <f>HYPERLINK("https://sao.dolgi.msk.ru/account/1404126966/", 1404126966)</f>
        <v>1404126966</v>
      </c>
      <c r="F10067">
        <v>-695.58</v>
      </c>
    </row>
    <row r="10068" spans="1:6" x14ac:dyDescent="0.25">
      <c r="A10068" t="s">
        <v>698</v>
      </c>
      <c r="B10068" t="s">
        <v>64</v>
      </c>
      <c r="C10068" s="5" t="str">
        <f>" кв. "&amp;B10068</f>
        <v xml:space="preserve"> кв. 60</v>
      </c>
      <c r="D10068" s="5" t="str">
        <f>CONCATENATE(A10068,C10068)</f>
        <v>Смольная ул., дом 43 кв. 60</v>
      </c>
      <c r="E10068" s="3">
        <f>HYPERLINK("https://sao.dolgi.msk.ru/account/1404126982/", 1404126982)</f>
        <v>1404126982</v>
      </c>
      <c r="F10068">
        <v>8496.11</v>
      </c>
    </row>
    <row r="10069" spans="1:6" hidden="1" x14ac:dyDescent="0.25">
      <c r="A10069" t="s">
        <v>698</v>
      </c>
      <c r="B10069" t="s">
        <v>65</v>
      </c>
      <c r="E10069" s="3">
        <f>HYPERLINK("https://sao.dolgi.msk.ru/account/1404127301/", 1404127301)</f>
        <v>1404127301</v>
      </c>
      <c r="F10069">
        <v>-2438.9</v>
      </c>
    </row>
    <row r="10070" spans="1:6" hidden="1" x14ac:dyDescent="0.25">
      <c r="A10070" t="s">
        <v>698</v>
      </c>
      <c r="B10070" t="s">
        <v>66</v>
      </c>
      <c r="E10070" s="3">
        <f>HYPERLINK("https://sao.dolgi.msk.ru/account/1404127184/", 1404127184)</f>
        <v>1404127184</v>
      </c>
      <c r="F10070">
        <v>-4404.21</v>
      </c>
    </row>
    <row r="10071" spans="1:6" hidden="1" x14ac:dyDescent="0.25">
      <c r="A10071" t="s">
        <v>698</v>
      </c>
      <c r="B10071" t="s">
        <v>67</v>
      </c>
      <c r="E10071" s="3">
        <f>HYPERLINK("https://sao.dolgi.msk.ru/account/1404127416/", 1404127416)</f>
        <v>1404127416</v>
      </c>
      <c r="F10071">
        <v>-3188.75</v>
      </c>
    </row>
    <row r="10072" spans="1:6" hidden="1" x14ac:dyDescent="0.25">
      <c r="A10072" t="s">
        <v>698</v>
      </c>
      <c r="B10072" t="s">
        <v>68</v>
      </c>
      <c r="E10072" s="3">
        <f>HYPERLINK("https://sao.dolgi.msk.ru/account/1404127002/", 1404127002)</f>
        <v>1404127002</v>
      </c>
      <c r="F10072">
        <v>-1806.28</v>
      </c>
    </row>
    <row r="10073" spans="1:6" hidden="1" x14ac:dyDescent="0.25">
      <c r="A10073" t="s">
        <v>698</v>
      </c>
      <c r="B10073" t="s">
        <v>68</v>
      </c>
      <c r="E10073" s="3">
        <f>HYPERLINK("https://sao.dolgi.msk.ru/account/1404127571/", 1404127571)</f>
        <v>1404127571</v>
      </c>
      <c r="F10073">
        <v>-1233.8699999999999</v>
      </c>
    </row>
    <row r="10074" spans="1:6" hidden="1" x14ac:dyDescent="0.25">
      <c r="A10074" t="s">
        <v>698</v>
      </c>
      <c r="B10074" t="s">
        <v>69</v>
      </c>
      <c r="E10074" s="3">
        <f>HYPERLINK("https://sao.dolgi.msk.ru/account/1404127192/", 1404127192)</f>
        <v>1404127192</v>
      </c>
      <c r="F10074">
        <v>-1956.39</v>
      </c>
    </row>
    <row r="10075" spans="1:6" hidden="1" x14ac:dyDescent="0.25">
      <c r="A10075" t="s">
        <v>698</v>
      </c>
      <c r="B10075" t="s">
        <v>70</v>
      </c>
      <c r="E10075" s="3">
        <f>HYPERLINK("https://sao.dolgi.msk.ru/account/1404127029/", 1404127029)</f>
        <v>1404127029</v>
      </c>
      <c r="F10075">
        <v>-3884.02</v>
      </c>
    </row>
    <row r="10076" spans="1:6" hidden="1" x14ac:dyDescent="0.25">
      <c r="A10076" t="s">
        <v>698</v>
      </c>
      <c r="B10076" t="s">
        <v>71</v>
      </c>
      <c r="E10076" s="3">
        <f>HYPERLINK("https://sao.dolgi.msk.ru/account/1404127547/", 1404127547)</f>
        <v>1404127547</v>
      </c>
      <c r="F10076">
        <v>-14753.8</v>
      </c>
    </row>
    <row r="10077" spans="1:6" hidden="1" x14ac:dyDescent="0.25">
      <c r="A10077" t="s">
        <v>698</v>
      </c>
      <c r="B10077" t="s">
        <v>72</v>
      </c>
      <c r="E10077" s="3">
        <f>HYPERLINK("https://sao.dolgi.msk.ru/account/1404127061/", 1404127061)</f>
        <v>1404127061</v>
      </c>
      <c r="F10077">
        <v>-5928.89</v>
      </c>
    </row>
    <row r="10078" spans="1:6" hidden="1" x14ac:dyDescent="0.25">
      <c r="A10078" t="s">
        <v>698</v>
      </c>
      <c r="B10078" t="s">
        <v>73</v>
      </c>
      <c r="E10078" s="3">
        <f>HYPERLINK("https://sao.dolgi.msk.ru/account/1404127205/", 1404127205)</f>
        <v>1404127205</v>
      </c>
      <c r="F10078">
        <v>-2614.98</v>
      </c>
    </row>
    <row r="10079" spans="1:6" hidden="1" x14ac:dyDescent="0.25">
      <c r="A10079" t="s">
        <v>698</v>
      </c>
      <c r="B10079" t="s">
        <v>73</v>
      </c>
      <c r="E10079" s="3">
        <f>HYPERLINK("https://sao.dolgi.msk.ru/account/1404127686/", 1404127686)</f>
        <v>1404127686</v>
      </c>
      <c r="F10079">
        <v>-476.69</v>
      </c>
    </row>
    <row r="10080" spans="1:6" hidden="1" x14ac:dyDescent="0.25">
      <c r="A10080" t="s">
        <v>698</v>
      </c>
      <c r="B10080" t="s">
        <v>74</v>
      </c>
      <c r="E10080" s="3">
        <f>HYPERLINK("https://sao.dolgi.msk.ru/account/1404127555/", 1404127555)</f>
        <v>1404127555</v>
      </c>
      <c r="F10080">
        <v>-345</v>
      </c>
    </row>
    <row r="10081" spans="1:6" hidden="1" x14ac:dyDescent="0.25">
      <c r="A10081" t="s">
        <v>698</v>
      </c>
      <c r="B10081" t="s">
        <v>75</v>
      </c>
      <c r="E10081" s="3">
        <f>HYPERLINK("https://sao.dolgi.msk.ru/account/1404127088/", 1404127088)</f>
        <v>1404127088</v>
      </c>
      <c r="F10081">
        <v>-4634.6000000000004</v>
      </c>
    </row>
    <row r="10082" spans="1:6" hidden="1" x14ac:dyDescent="0.25">
      <c r="A10082" t="s">
        <v>698</v>
      </c>
      <c r="B10082" t="s">
        <v>76</v>
      </c>
      <c r="E10082" s="3">
        <f>HYPERLINK("https://sao.dolgi.msk.ru/account/1404127096/", 1404127096)</f>
        <v>1404127096</v>
      </c>
      <c r="F10082">
        <v>-294.92</v>
      </c>
    </row>
    <row r="10083" spans="1:6" hidden="1" x14ac:dyDescent="0.25">
      <c r="A10083" t="s">
        <v>699</v>
      </c>
      <c r="B10083" t="s">
        <v>5</v>
      </c>
      <c r="E10083" s="3">
        <f>HYPERLINK("https://sao.dolgi.msk.ru/account/1404127838/", 1404127838)</f>
        <v>1404127838</v>
      </c>
      <c r="F10083">
        <v>-2548.15</v>
      </c>
    </row>
    <row r="10084" spans="1:6" x14ac:dyDescent="0.25">
      <c r="A10084" t="s">
        <v>699</v>
      </c>
      <c r="B10084" t="s">
        <v>6</v>
      </c>
      <c r="C10084" s="5" t="str">
        <f>" кв. "&amp;B10084</f>
        <v xml:space="preserve"> кв. 2</v>
      </c>
      <c r="D10084" s="5" t="str">
        <f>CONCATENATE(A10084,C10084)</f>
        <v>Смольная ул., дом 45 кв. 2</v>
      </c>
      <c r="E10084" s="3">
        <f>HYPERLINK("https://sao.dolgi.msk.ru/account/1404128021/", 1404128021)</f>
        <v>1404128021</v>
      </c>
      <c r="F10084">
        <v>3580.26</v>
      </c>
    </row>
    <row r="10085" spans="1:6" hidden="1" x14ac:dyDescent="0.25">
      <c r="A10085" t="s">
        <v>699</v>
      </c>
      <c r="B10085" t="s">
        <v>7</v>
      </c>
      <c r="E10085" s="3">
        <f>HYPERLINK("https://sao.dolgi.msk.ru/account/1404128523/", 1404128523)</f>
        <v>1404128523</v>
      </c>
      <c r="F10085">
        <v>-2706.55</v>
      </c>
    </row>
    <row r="10086" spans="1:6" x14ac:dyDescent="0.25">
      <c r="A10086" t="s">
        <v>699</v>
      </c>
      <c r="B10086" t="s">
        <v>8</v>
      </c>
      <c r="C10086" s="5" t="str">
        <f>" кв. "&amp;B10086</f>
        <v xml:space="preserve"> кв. 4</v>
      </c>
      <c r="D10086" s="5" t="str">
        <f>CONCATENATE(A10086,C10086)</f>
        <v>Смольная ул., дом 45 кв. 4</v>
      </c>
      <c r="E10086" s="3">
        <f>HYPERLINK("https://sao.dolgi.msk.ru/account/1404128267/", 1404128267)</f>
        <v>1404128267</v>
      </c>
      <c r="F10086">
        <v>2978.19</v>
      </c>
    </row>
    <row r="10087" spans="1:6" hidden="1" x14ac:dyDescent="0.25">
      <c r="A10087" t="s">
        <v>699</v>
      </c>
      <c r="B10087" t="s">
        <v>9</v>
      </c>
      <c r="E10087" s="3">
        <f>HYPERLINK("https://sao.dolgi.msk.ru/account/1404128056/", 1404128056)</f>
        <v>1404128056</v>
      </c>
      <c r="F10087">
        <v>-3159.44</v>
      </c>
    </row>
    <row r="10088" spans="1:6" x14ac:dyDescent="0.25">
      <c r="A10088" t="s">
        <v>699</v>
      </c>
      <c r="B10088" t="s">
        <v>10</v>
      </c>
      <c r="C10088" s="5" t="str">
        <f>" кв. "&amp;B10088</f>
        <v xml:space="preserve"> кв. 6</v>
      </c>
      <c r="D10088" s="5" t="str">
        <f>CONCATENATE(A10088,C10088)</f>
        <v>Смольная ул., дом 45 кв. 6</v>
      </c>
      <c r="E10088" s="3">
        <f>HYPERLINK("https://sao.dolgi.msk.ru/account/1404127942/", 1404127942)</f>
        <v>1404127942</v>
      </c>
      <c r="F10088">
        <v>23569.08</v>
      </c>
    </row>
    <row r="10089" spans="1:6" hidden="1" x14ac:dyDescent="0.25">
      <c r="A10089" t="s">
        <v>699</v>
      </c>
      <c r="B10089" t="s">
        <v>11</v>
      </c>
      <c r="E10089" s="3">
        <f>HYPERLINK("https://sao.dolgi.msk.ru/account/1404128355/", 1404128355)</f>
        <v>1404128355</v>
      </c>
      <c r="F10089">
        <v>-1868.81</v>
      </c>
    </row>
    <row r="10090" spans="1:6" hidden="1" x14ac:dyDescent="0.25">
      <c r="A10090" t="s">
        <v>699</v>
      </c>
      <c r="B10090" t="s">
        <v>12</v>
      </c>
      <c r="E10090" s="3">
        <f>HYPERLINK("https://sao.dolgi.msk.ru/account/1404128646/", 1404128646)</f>
        <v>1404128646</v>
      </c>
      <c r="F10090">
        <v>-3023.64</v>
      </c>
    </row>
    <row r="10091" spans="1:6" hidden="1" x14ac:dyDescent="0.25">
      <c r="A10091" t="s">
        <v>699</v>
      </c>
      <c r="B10091" t="s">
        <v>13</v>
      </c>
      <c r="E10091" s="3">
        <f>HYPERLINK("https://sao.dolgi.msk.ru/account/1404128363/", 1404128363)</f>
        <v>1404128363</v>
      </c>
      <c r="F10091">
        <v>-4818.6899999999996</v>
      </c>
    </row>
    <row r="10092" spans="1:6" hidden="1" x14ac:dyDescent="0.25">
      <c r="A10092" t="s">
        <v>699</v>
      </c>
      <c r="B10092" t="s">
        <v>14</v>
      </c>
      <c r="E10092" s="3">
        <f>HYPERLINK("https://sao.dolgi.msk.ru/account/1404127846/", 1404127846)</f>
        <v>1404127846</v>
      </c>
      <c r="F10092">
        <v>-4682.83</v>
      </c>
    </row>
    <row r="10093" spans="1:6" hidden="1" x14ac:dyDescent="0.25">
      <c r="A10093" t="s">
        <v>699</v>
      </c>
      <c r="B10093" t="s">
        <v>15</v>
      </c>
      <c r="E10093" s="3">
        <f>HYPERLINK("https://sao.dolgi.msk.ru/account/1404128216/", 1404128216)</f>
        <v>1404128216</v>
      </c>
      <c r="F10093">
        <v>-2913.18</v>
      </c>
    </row>
    <row r="10094" spans="1:6" hidden="1" x14ac:dyDescent="0.25">
      <c r="A10094" t="s">
        <v>699</v>
      </c>
      <c r="B10094" t="s">
        <v>16</v>
      </c>
      <c r="E10094" s="3">
        <f>HYPERLINK("https://sao.dolgi.msk.ru/account/1404127854/", 1404127854)</f>
        <v>1404127854</v>
      </c>
      <c r="F10094">
        <v>-1619.74</v>
      </c>
    </row>
    <row r="10095" spans="1:6" hidden="1" x14ac:dyDescent="0.25">
      <c r="A10095" t="s">
        <v>699</v>
      </c>
      <c r="B10095" t="s">
        <v>17</v>
      </c>
      <c r="E10095" s="3">
        <f>HYPERLINK("https://sao.dolgi.msk.ru/account/1404128005/", 1404128005)</f>
        <v>1404128005</v>
      </c>
      <c r="F10095">
        <v>0</v>
      </c>
    </row>
    <row r="10096" spans="1:6" hidden="1" x14ac:dyDescent="0.25">
      <c r="A10096" t="s">
        <v>699</v>
      </c>
      <c r="B10096" t="s">
        <v>18</v>
      </c>
      <c r="E10096" s="3">
        <f>HYPERLINK("https://sao.dolgi.msk.ru/account/1404128312/", 1404128312)</f>
        <v>1404128312</v>
      </c>
      <c r="F10096">
        <v>-3055.57</v>
      </c>
    </row>
    <row r="10097" spans="1:6" hidden="1" x14ac:dyDescent="0.25">
      <c r="A10097" t="s">
        <v>699</v>
      </c>
      <c r="B10097" t="s">
        <v>19</v>
      </c>
      <c r="E10097" s="3">
        <f>HYPERLINK("https://sao.dolgi.msk.ru/account/1404128654/", 1404128654)</f>
        <v>1404128654</v>
      </c>
      <c r="F10097">
        <v>-3362.48</v>
      </c>
    </row>
    <row r="10098" spans="1:6" hidden="1" x14ac:dyDescent="0.25">
      <c r="A10098" t="s">
        <v>699</v>
      </c>
      <c r="B10098" t="s">
        <v>20</v>
      </c>
      <c r="E10098" s="3">
        <f>HYPERLINK("https://sao.dolgi.msk.ru/account/1404128144/", 1404128144)</f>
        <v>1404128144</v>
      </c>
      <c r="F10098">
        <v>-2681.89</v>
      </c>
    </row>
    <row r="10099" spans="1:6" hidden="1" x14ac:dyDescent="0.25">
      <c r="A10099" t="s">
        <v>699</v>
      </c>
      <c r="B10099" t="s">
        <v>21</v>
      </c>
      <c r="E10099" s="3">
        <f>HYPERLINK("https://sao.dolgi.msk.ru/account/1404128486/", 1404128486)</f>
        <v>1404128486</v>
      </c>
      <c r="F10099">
        <v>-917.31</v>
      </c>
    </row>
    <row r="10100" spans="1:6" hidden="1" x14ac:dyDescent="0.25">
      <c r="A10100" t="s">
        <v>699</v>
      </c>
      <c r="B10100" t="s">
        <v>22</v>
      </c>
      <c r="E10100" s="3">
        <f>HYPERLINK("https://sao.dolgi.msk.ru/account/1404128013/", 1404128013)</f>
        <v>1404128013</v>
      </c>
      <c r="F10100">
        <v>-3417.55</v>
      </c>
    </row>
    <row r="10101" spans="1:6" hidden="1" x14ac:dyDescent="0.25">
      <c r="A10101" t="s">
        <v>699</v>
      </c>
      <c r="B10101" t="s">
        <v>23</v>
      </c>
      <c r="E10101" s="3">
        <f>HYPERLINK("https://sao.dolgi.msk.ru/account/1404128152/", 1404128152)</f>
        <v>1404128152</v>
      </c>
      <c r="F10101">
        <v>-4775.53</v>
      </c>
    </row>
    <row r="10102" spans="1:6" hidden="1" x14ac:dyDescent="0.25">
      <c r="A10102" t="s">
        <v>699</v>
      </c>
      <c r="B10102" t="s">
        <v>24</v>
      </c>
      <c r="E10102" s="3">
        <f>HYPERLINK("https://sao.dolgi.msk.ru/account/1404128494/", 1404128494)</f>
        <v>1404128494</v>
      </c>
      <c r="F10102">
        <v>-3779.71</v>
      </c>
    </row>
    <row r="10103" spans="1:6" hidden="1" x14ac:dyDescent="0.25">
      <c r="A10103" t="s">
        <v>699</v>
      </c>
      <c r="B10103" t="s">
        <v>25</v>
      </c>
      <c r="E10103" s="3">
        <f>HYPERLINK("https://sao.dolgi.msk.ru/account/1404128662/", 1404128662)</f>
        <v>1404128662</v>
      </c>
      <c r="F10103">
        <v>-1515.98</v>
      </c>
    </row>
    <row r="10104" spans="1:6" x14ac:dyDescent="0.25">
      <c r="A10104" t="s">
        <v>699</v>
      </c>
      <c r="B10104" t="s">
        <v>26</v>
      </c>
      <c r="C10104" s="5" t="str">
        <f>" кв. "&amp;B10104</f>
        <v xml:space="preserve"> кв. 22</v>
      </c>
      <c r="D10104" s="5" t="str">
        <f>CONCATENATE(A10104,C10104)</f>
        <v>Смольная ул., дом 45 кв. 22</v>
      </c>
      <c r="E10104" s="3">
        <f>HYPERLINK("https://sao.dolgi.msk.ru/account/1404128689/", 1404128689)</f>
        <v>1404128689</v>
      </c>
      <c r="F10104">
        <v>2389.96</v>
      </c>
    </row>
    <row r="10105" spans="1:6" hidden="1" x14ac:dyDescent="0.25">
      <c r="A10105" t="s">
        <v>699</v>
      </c>
      <c r="B10105" t="s">
        <v>27</v>
      </c>
      <c r="E10105" s="3">
        <f>HYPERLINK("https://sao.dolgi.msk.ru/account/1404128507/", 1404128507)</f>
        <v>1404128507</v>
      </c>
      <c r="F10105">
        <v>-4559.7299999999996</v>
      </c>
    </row>
    <row r="10106" spans="1:6" hidden="1" x14ac:dyDescent="0.25">
      <c r="A10106" t="s">
        <v>699</v>
      </c>
      <c r="B10106" t="s">
        <v>28</v>
      </c>
      <c r="E10106" s="3">
        <f>HYPERLINK("https://sao.dolgi.msk.ru/account/1404127862/", 1404127862)</f>
        <v>1404127862</v>
      </c>
      <c r="F10106">
        <v>-4436.87</v>
      </c>
    </row>
    <row r="10107" spans="1:6" hidden="1" x14ac:dyDescent="0.25">
      <c r="A10107" t="s">
        <v>699</v>
      </c>
      <c r="B10107" t="s">
        <v>29</v>
      </c>
      <c r="E10107" s="3">
        <f>HYPERLINK("https://sao.dolgi.msk.ru/account/1404128515/", 1404128515)</f>
        <v>1404128515</v>
      </c>
      <c r="F10107">
        <v>0</v>
      </c>
    </row>
    <row r="10108" spans="1:6" hidden="1" x14ac:dyDescent="0.25">
      <c r="A10108" t="s">
        <v>699</v>
      </c>
      <c r="B10108" t="s">
        <v>30</v>
      </c>
      <c r="E10108" s="3">
        <f>HYPERLINK("https://sao.dolgi.msk.ru/account/1404128371/", 1404128371)</f>
        <v>1404128371</v>
      </c>
      <c r="F10108">
        <v>-2128.79</v>
      </c>
    </row>
    <row r="10109" spans="1:6" x14ac:dyDescent="0.25">
      <c r="A10109" t="s">
        <v>699</v>
      </c>
      <c r="B10109" t="s">
        <v>31</v>
      </c>
      <c r="C10109" s="5" t="str">
        <f>" кв. "&amp;B10109</f>
        <v xml:space="preserve"> кв. 27</v>
      </c>
      <c r="D10109" s="5" t="str">
        <f>CONCATENATE(A10109,C10109)</f>
        <v>Смольная ул., дом 45 кв. 27</v>
      </c>
      <c r="E10109" s="3">
        <f>HYPERLINK("https://sao.dolgi.msk.ru/account/1404127889/", 1404127889)</f>
        <v>1404127889</v>
      </c>
      <c r="F10109">
        <v>1411.18</v>
      </c>
    </row>
    <row r="10110" spans="1:6" hidden="1" x14ac:dyDescent="0.25">
      <c r="A10110" t="s">
        <v>699</v>
      </c>
      <c r="B10110" t="s">
        <v>32</v>
      </c>
      <c r="E10110" s="3">
        <f>HYPERLINK("https://sao.dolgi.msk.ru/account/1404128224/", 1404128224)</f>
        <v>1404128224</v>
      </c>
      <c r="F10110">
        <v>-1691.11</v>
      </c>
    </row>
    <row r="10111" spans="1:6" hidden="1" x14ac:dyDescent="0.25">
      <c r="A10111" t="s">
        <v>699</v>
      </c>
      <c r="B10111" t="s">
        <v>33</v>
      </c>
      <c r="E10111" s="3">
        <f>HYPERLINK("https://sao.dolgi.msk.ru/account/1404128697/", 1404128697)</f>
        <v>1404128697</v>
      </c>
      <c r="F10111">
        <v>-7446.61</v>
      </c>
    </row>
    <row r="10112" spans="1:6" hidden="1" x14ac:dyDescent="0.25">
      <c r="A10112" t="s">
        <v>699</v>
      </c>
      <c r="B10112" t="s">
        <v>34</v>
      </c>
      <c r="E10112" s="3">
        <f>HYPERLINK("https://sao.dolgi.msk.ru/account/1404128398/", 1404128398)</f>
        <v>1404128398</v>
      </c>
      <c r="F10112">
        <v>-6991.07</v>
      </c>
    </row>
    <row r="10113" spans="1:6" hidden="1" x14ac:dyDescent="0.25">
      <c r="A10113" t="s">
        <v>699</v>
      </c>
      <c r="B10113" t="s">
        <v>35</v>
      </c>
      <c r="E10113" s="3">
        <f>HYPERLINK("https://sao.dolgi.msk.ru/account/1404128531/", 1404128531)</f>
        <v>1404128531</v>
      </c>
      <c r="F10113">
        <v>-7604.56</v>
      </c>
    </row>
    <row r="10114" spans="1:6" hidden="1" x14ac:dyDescent="0.25">
      <c r="A10114" t="s">
        <v>699</v>
      </c>
      <c r="B10114" t="s">
        <v>36</v>
      </c>
      <c r="E10114" s="3">
        <f>HYPERLINK("https://sao.dolgi.msk.ru/account/1404128179/", 1404128179)</f>
        <v>1404128179</v>
      </c>
      <c r="F10114">
        <v>0</v>
      </c>
    </row>
    <row r="10115" spans="1:6" hidden="1" x14ac:dyDescent="0.25">
      <c r="A10115" t="s">
        <v>699</v>
      </c>
      <c r="B10115" t="s">
        <v>37</v>
      </c>
      <c r="E10115" s="3">
        <f>HYPERLINK("https://sao.dolgi.msk.ru/account/1404128419/", 1404128419)</f>
        <v>1404128419</v>
      </c>
      <c r="F10115">
        <v>-1518.43</v>
      </c>
    </row>
    <row r="10116" spans="1:6" hidden="1" x14ac:dyDescent="0.25">
      <c r="A10116" t="s">
        <v>699</v>
      </c>
      <c r="B10116" t="s">
        <v>38</v>
      </c>
      <c r="E10116" s="3">
        <f>HYPERLINK("https://sao.dolgi.msk.ru/account/1404128427/", 1404128427)</f>
        <v>1404128427</v>
      </c>
      <c r="F10116">
        <v>-4149.6000000000004</v>
      </c>
    </row>
    <row r="10117" spans="1:6" hidden="1" x14ac:dyDescent="0.25">
      <c r="A10117" t="s">
        <v>699</v>
      </c>
      <c r="B10117" t="s">
        <v>39</v>
      </c>
      <c r="E10117" s="3">
        <f>HYPERLINK("https://sao.dolgi.msk.ru/account/1404128048/", 1404128048)</f>
        <v>1404128048</v>
      </c>
      <c r="F10117">
        <v>-5873.94</v>
      </c>
    </row>
    <row r="10118" spans="1:6" hidden="1" x14ac:dyDescent="0.25">
      <c r="A10118" t="s">
        <v>699</v>
      </c>
      <c r="B10118" t="s">
        <v>40</v>
      </c>
      <c r="E10118" s="3">
        <f>HYPERLINK("https://sao.dolgi.msk.ru/account/1404128232/", 1404128232)</f>
        <v>1404128232</v>
      </c>
      <c r="F10118">
        <v>-1241.8</v>
      </c>
    </row>
    <row r="10119" spans="1:6" hidden="1" x14ac:dyDescent="0.25">
      <c r="A10119" t="s">
        <v>699</v>
      </c>
      <c r="B10119" t="s">
        <v>41</v>
      </c>
      <c r="E10119" s="3">
        <f>HYPERLINK("https://sao.dolgi.msk.ru/account/1404128259/", 1404128259)</f>
        <v>1404128259</v>
      </c>
      <c r="F10119">
        <v>-4196.72</v>
      </c>
    </row>
    <row r="10120" spans="1:6" hidden="1" x14ac:dyDescent="0.25">
      <c r="A10120" t="s">
        <v>699</v>
      </c>
      <c r="B10120" t="s">
        <v>42</v>
      </c>
      <c r="E10120" s="3">
        <f>HYPERLINK("https://sao.dolgi.msk.ru/account/1404127897/", 1404127897)</f>
        <v>1404127897</v>
      </c>
      <c r="F10120">
        <v>-3554.71</v>
      </c>
    </row>
    <row r="10121" spans="1:6" hidden="1" x14ac:dyDescent="0.25">
      <c r="A10121" t="s">
        <v>699</v>
      </c>
      <c r="B10121" t="s">
        <v>43</v>
      </c>
      <c r="E10121" s="3">
        <f>HYPERLINK("https://sao.dolgi.msk.ru/account/1404128339/", 1404128339)</f>
        <v>1404128339</v>
      </c>
      <c r="F10121">
        <v>-4874.2299999999996</v>
      </c>
    </row>
    <row r="10122" spans="1:6" hidden="1" x14ac:dyDescent="0.25">
      <c r="A10122" t="s">
        <v>699</v>
      </c>
      <c r="B10122" t="s">
        <v>44</v>
      </c>
      <c r="E10122" s="3">
        <f>HYPERLINK("https://sao.dolgi.msk.ru/account/1404128435/", 1404128435)</f>
        <v>1404128435</v>
      </c>
      <c r="F10122">
        <v>-3870.61</v>
      </c>
    </row>
    <row r="10123" spans="1:6" hidden="1" x14ac:dyDescent="0.25">
      <c r="A10123" t="s">
        <v>699</v>
      </c>
      <c r="B10123" t="s">
        <v>45</v>
      </c>
      <c r="E10123" s="3">
        <f>HYPERLINK("https://sao.dolgi.msk.ru/account/1404128187/", 1404128187)</f>
        <v>1404128187</v>
      </c>
      <c r="F10123">
        <v>-2300.2800000000002</v>
      </c>
    </row>
    <row r="10124" spans="1:6" hidden="1" x14ac:dyDescent="0.25">
      <c r="A10124" t="s">
        <v>699</v>
      </c>
      <c r="B10124" t="s">
        <v>46</v>
      </c>
      <c r="E10124" s="3">
        <f>HYPERLINK("https://sao.dolgi.msk.ru/account/1404128275/", 1404128275)</f>
        <v>1404128275</v>
      </c>
      <c r="F10124">
        <v>-4509.99</v>
      </c>
    </row>
    <row r="10125" spans="1:6" hidden="1" x14ac:dyDescent="0.25">
      <c r="A10125" t="s">
        <v>699</v>
      </c>
      <c r="B10125" t="s">
        <v>47</v>
      </c>
      <c r="E10125" s="3">
        <f>HYPERLINK("https://sao.dolgi.msk.ru/account/1404128347/", 1404128347)</f>
        <v>1404128347</v>
      </c>
      <c r="F10125">
        <v>-1723.22</v>
      </c>
    </row>
    <row r="10126" spans="1:6" hidden="1" x14ac:dyDescent="0.25">
      <c r="A10126" t="s">
        <v>699</v>
      </c>
      <c r="B10126" t="s">
        <v>48</v>
      </c>
      <c r="E10126" s="3">
        <f>HYPERLINK("https://sao.dolgi.msk.ru/account/1404127918/", 1404127918)</f>
        <v>1404127918</v>
      </c>
      <c r="F10126">
        <v>-3023.82</v>
      </c>
    </row>
    <row r="10127" spans="1:6" hidden="1" x14ac:dyDescent="0.25">
      <c r="A10127" t="s">
        <v>699</v>
      </c>
      <c r="B10127" t="s">
        <v>49</v>
      </c>
      <c r="E10127" s="3">
        <f>HYPERLINK("https://sao.dolgi.msk.ru/account/1404128136/", 1404128136)</f>
        <v>1404128136</v>
      </c>
      <c r="F10127">
        <v>-1161.1099999999999</v>
      </c>
    </row>
    <row r="10128" spans="1:6" hidden="1" x14ac:dyDescent="0.25">
      <c r="A10128" t="s">
        <v>699</v>
      </c>
      <c r="B10128" t="s">
        <v>49</v>
      </c>
      <c r="E10128" s="3">
        <f>HYPERLINK("https://sao.dolgi.msk.ru/account/1404128558/", 1404128558)</f>
        <v>1404128558</v>
      </c>
      <c r="F10128">
        <v>-2096.2600000000002</v>
      </c>
    </row>
    <row r="10129" spans="1:6" hidden="1" x14ac:dyDescent="0.25">
      <c r="A10129" t="s">
        <v>699</v>
      </c>
      <c r="B10129" t="s">
        <v>50</v>
      </c>
      <c r="E10129" s="3">
        <f>HYPERLINK("https://sao.dolgi.msk.ru/account/1404128195/", 1404128195)</f>
        <v>1404128195</v>
      </c>
      <c r="F10129">
        <v>-2920.99</v>
      </c>
    </row>
    <row r="10130" spans="1:6" hidden="1" x14ac:dyDescent="0.25">
      <c r="A10130" t="s">
        <v>699</v>
      </c>
      <c r="B10130" t="s">
        <v>51</v>
      </c>
      <c r="E10130" s="3">
        <f>HYPERLINK("https://sao.dolgi.msk.ru/account/1404128718/", 1404128718)</f>
        <v>1404128718</v>
      </c>
      <c r="F10130">
        <v>-1925.83</v>
      </c>
    </row>
    <row r="10131" spans="1:6" hidden="1" x14ac:dyDescent="0.25">
      <c r="A10131" t="s">
        <v>699</v>
      </c>
      <c r="B10131" t="s">
        <v>52</v>
      </c>
      <c r="E10131" s="3">
        <f>HYPERLINK("https://sao.dolgi.msk.ru/account/1404128283/", 1404128283)</f>
        <v>1404128283</v>
      </c>
      <c r="F10131">
        <v>-2758.95</v>
      </c>
    </row>
    <row r="10132" spans="1:6" hidden="1" x14ac:dyDescent="0.25">
      <c r="A10132" t="s">
        <v>699</v>
      </c>
      <c r="B10132" t="s">
        <v>53</v>
      </c>
      <c r="E10132" s="3">
        <f>HYPERLINK("https://sao.dolgi.msk.ru/account/1404128208/", 1404128208)</f>
        <v>1404128208</v>
      </c>
      <c r="F10132">
        <v>-2156.12</v>
      </c>
    </row>
    <row r="10133" spans="1:6" hidden="1" x14ac:dyDescent="0.25">
      <c r="A10133" t="s">
        <v>699</v>
      </c>
      <c r="B10133" t="s">
        <v>54</v>
      </c>
      <c r="E10133" s="3">
        <f>HYPERLINK("https://sao.dolgi.msk.ru/account/1404128443/", 1404128443)</f>
        <v>1404128443</v>
      </c>
      <c r="F10133">
        <v>-1768.66</v>
      </c>
    </row>
    <row r="10134" spans="1:6" hidden="1" x14ac:dyDescent="0.25">
      <c r="A10134" t="s">
        <v>699</v>
      </c>
      <c r="B10134" t="s">
        <v>55</v>
      </c>
      <c r="E10134" s="3">
        <f>HYPERLINK("https://sao.dolgi.msk.ru/account/1404128064/", 1404128064)</f>
        <v>1404128064</v>
      </c>
      <c r="F10134">
        <v>-3433.6</v>
      </c>
    </row>
    <row r="10135" spans="1:6" hidden="1" x14ac:dyDescent="0.25">
      <c r="A10135" t="s">
        <v>699</v>
      </c>
      <c r="B10135" t="s">
        <v>56</v>
      </c>
      <c r="E10135" s="3">
        <f>HYPERLINK("https://sao.dolgi.msk.ru/account/1404128451/", 1404128451)</f>
        <v>1404128451</v>
      </c>
      <c r="F10135">
        <v>-1989.7</v>
      </c>
    </row>
    <row r="10136" spans="1:6" hidden="1" x14ac:dyDescent="0.25">
      <c r="A10136" t="s">
        <v>699</v>
      </c>
      <c r="B10136" t="s">
        <v>57</v>
      </c>
      <c r="E10136" s="3">
        <f>HYPERLINK("https://sao.dolgi.msk.ru/account/1404127926/", 1404127926)</f>
        <v>1404127926</v>
      </c>
      <c r="F10136">
        <v>-2905.62</v>
      </c>
    </row>
    <row r="10137" spans="1:6" hidden="1" x14ac:dyDescent="0.25">
      <c r="A10137" t="s">
        <v>699</v>
      </c>
      <c r="B10137" t="s">
        <v>58</v>
      </c>
      <c r="E10137" s="3">
        <f>HYPERLINK("https://sao.dolgi.msk.ru/account/1404128566/", 1404128566)</f>
        <v>1404128566</v>
      </c>
      <c r="F10137">
        <v>-5152.5</v>
      </c>
    </row>
    <row r="10138" spans="1:6" hidden="1" x14ac:dyDescent="0.25">
      <c r="A10138" t="s">
        <v>699</v>
      </c>
      <c r="B10138" t="s">
        <v>59</v>
      </c>
      <c r="E10138" s="3">
        <f>HYPERLINK("https://sao.dolgi.msk.ru/account/1404128291/", 1404128291)</f>
        <v>1404128291</v>
      </c>
      <c r="F10138">
        <v>-1811.51</v>
      </c>
    </row>
    <row r="10139" spans="1:6" hidden="1" x14ac:dyDescent="0.25">
      <c r="A10139" t="s">
        <v>699</v>
      </c>
      <c r="B10139" t="s">
        <v>60</v>
      </c>
      <c r="E10139" s="3">
        <f>HYPERLINK("https://sao.dolgi.msk.ru/account/1404128726/", 1404128726)</f>
        <v>1404128726</v>
      </c>
      <c r="F10139">
        <v>-3008.2</v>
      </c>
    </row>
    <row r="10140" spans="1:6" hidden="1" x14ac:dyDescent="0.25">
      <c r="A10140" t="s">
        <v>699</v>
      </c>
      <c r="B10140" t="s">
        <v>61</v>
      </c>
      <c r="E10140" s="3">
        <f>HYPERLINK("https://sao.dolgi.msk.ru/account/1404127934/", 1404127934)</f>
        <v>1404127934</v>
      </c>
      <c r="F10140">
        <v>-5358.9</v>
      </c>
    </row>
    <row r="10141" spans="1:6" hidden="1" x14ac:dyDescent="0.25">
      <c r="A10141" t="s">
        <v>699</v>
      </c>
      <c r="B10141" t="s">
        <v>62</v>
      </c>
      <c r="E10141" s="3">
        <f>HYPERLINK("https://sao.dolgi.msk.ru/account/1404128574/", 1404128574)</f>
        <v>1404128574</v>
      </c>
      <c r="F10141">
        <v>0</v>
      </c>
    </row>
    <row r="10142" spans="1:6" hidden="1" x14ac:dyDescent="0.25">
      <c r="A10142" t="s">
        <v>699</v>
      </c>
      <c r="B10142" t="s">
        <v>63</v>
      </c>
      <c r="E10142" s="3">
        <f>HYPERLINK("https://sao.dolgi.msk.ru/account/1404128304/", 1404128304)</f>
        <v>1404128304</v>
      </c>
      <c r="F10142">
        <v>-3448.78</v>
      </c>
    </row>
    <row r="10143" spans="1:6" hidden="1" x14ac:dyDescent="0.25">
      <c r="A10143" t="s">
        <v>699</v>
      </c>
      <c r="B10143" t="s">
        <v>64</v>
      </c>
      <c r="E10143" s="3">
        <f>HYPERLINK("https://sao.dolgi.msk.ru/account/1404127969/", 1404127969)</f>
        <v>1404127969</v>
      </c>
      <c r="F10143">
        <v>-2680.89</v>
      </c>
    </row>
    <row r="10144" spans="1:6" hidden="1" x14ac:dyDescent="0.25">
      <c r="A10144" t="s">
        <v>699</v>
      </c>
      <c r="B10144" t="s">
        <v>65</v>
      </c>
      <c r="E10144" s="3">
        <f>HYPERLINK("https://sao.dolgi.msk.ru/account/1404128072/", 1404128072)</f>
        <v>1404128072</v>
      </c>
      <c r="F10144">
        <v>-2207.9899999999998</v>
      </c>
    </row>
    <row r="10145" spans="1:6" hidden="1" x14ac:dyDescent="0.25">
      <c r="A10145" t="s">
        <v>699</v>
      </c>
      <c r="B10145" t="s">
        <v>66</v>
      </c>
      <c r="E10145" s="3">
        <f>HYPERLINK("https://sao.dolgi.msk.ru/account/1404128099/", 1404128099)</f>
        <v>1404128099</v>
      </c>
      <c r="F10145">
        <v>-7466.38</v>
      </c>
    </row>
    <row r="10146" spans="1:6" hidden="1" x14ac:dyDescent="0.25">
      <c r="A10146" t="s">
        <v>699</v>
      </c>
      <c r="B10146" t="s">
        <v>67</v>
      </c>
      <c r="E10146" s="3">
        <f>HYPERLINK("https://sao.dolgi.msk.ru/account/1404128582/", 1404128582)</f>
        <v>1404128582</v>
      </c>
      <c r="F10146">
        <v>0</v>
      </c>
    </row>
    <row r="10147" spans="1:6" hidden="1" x14ac:dyDescent="0.25">
      <c r="A10147" t="s">
        <v>699</v>
      </c>
      <c r="B10147" t="s">
        <v>68</v>
      </c>
      <c r="E10147" s="3">
        <f>HYPERLINK("https://sao.dolgi.msk.ru/account/1404128478/", 1404128478)</f>
        <v>1404128478</v>
      </c>
      <c r="F10147">
        <v>-2483.61</v>
      </c>
    </row>
    <row r="10148" spans="1:6" hidden="1" x14ac:dyDescent="0.25">
      <c r="A10148" t="s">
        <v>699</v>
      </c>
      <c r="B10148" t="s">
        <v>69</v>
      </c>
      <c r="E10148" s="3">
        <f>HYPERLINK("https://sao.dolgi.msk.ru/account/1404128101/", 1404128101)</f>
        <v>1404128101</v>
      </c>
      <c r="F10148">
        <v>-2517.2600000000002</v>
      </c>
    </row>
    <row r="10149" spans="1:6" hidden="1" x14ac:dyDescent="0.25">
      <c r="A10149" t="s">
        <v>699</v>
      </c>
      <c r="B10149" t="s">
        <v>70</v>
      </c>
      <c r="E10149" s="3">
        <f>HYPERLINK("https://sao.dolgi.msk.ru/account/1404128128/", 1404128128)</f>
        <v>1404128128</v>
      </c>
      <c r="F10149">
        <v>-1914.63</v>
      </c>
    </row>
    <row r="10150" spans="1:6" hidden="1" x14ac:dyDescent="0.25">
      <c r="A10150" t="s">
        <v>699</v>
      </c>
      <c r="B10150" t="s">
        <v>71</v>
      </c>
      <c r="E10150" s="3">
        <f>HYPERLINK("https://sao.dolgi.msk.ru/account/1404127977/", 1404127977)</f>
        <v>1404127977</v>
      </c>
      <c r="F10150">
        <v>0</v>
      </c>
    </row>
    <row r="10151" spans="1:6" hidden="1" x14ac:dyDescent="0.25">
      <c r="A10151" t="s">
        <v>699</v>
      </c>
      <c r="B10151" t="s">
        <v>72</v>
      </c>
      <c r="E10151" s="3">
        <f>HYPERLINK("https://sao.dolgi.msk.ru/account/1404127985/", 1404127985)</f>
        <v>1404127985</v>
      </c>
      <c r="F10151">
        <v>0</v>
      </c>
    </row>
    <row r="10152" spans="1:6" hidden="1" x14ac:dyDescent="0.25">
      <c r="A10152" t="s">
        <v>699</v>
      </c>
      <c r="B10152" t="s">
        <v>73</v>
      </c>
      <c r="E10152" s="3">
        <f>HYPERLINK("https://sao.dolgi.msk.ru/account/1404128603/", 1404128603)</f>
        <v>1404128603</v>
      </c>
      <c r="F10152">
        <v>0</v>
      </c>
    </row>
    <row r="10153" spans="1:6" hidden="1" x14ac:dyDescent="0.25">
      <c r="A10153" t="s">
        <v>699</v>
      </c>
      <c r="B10153" t="s">
        <v>74</v>
      </c>
      <c r="E10153" s="3">
        <f>HYPERLINK("https://sao.dolgi.msk.ru/account/1404128611/", 1404128611)</f>
        <v>1404128611</v>
      </c>
      <c r="F10153">
        <v>-3063.74</v>
      </c>
    </row>
    <row r="10154" spans="1:6" x14ac:dyDescent="0.25">
      <c r="A10154" t="s">
        <v>699</v>
      </c>
      <c r="B10154" t="s">
        <v>75</v>
      </c>
      <c r="C10154" s="5" t="str">
        <f>" кв. "&amp;B10154</f>
        <v xml:space="preserve"> кв. 71</v>
      </c>
      <c r="D10154" s="5" t="str">
        <f>CONCATENATE(A10154,C10154)</f>
        <v>Смольная ул., дом 45 кв. 71</v>
      </c>
      <c r="E10154" s="3">
        <f>HYPERLINK("https://sao.dolgi.msk.ru/account/1404128638/", 1404128638)</f>
        <v>1404128638</v>
      </c>
      <c r="F10154">
        <v>5265.4</v>
      </c>
    </row>
    <row r="10155" spans="1:6" hidden="1" x14ac:dyDescent="0.25">
      <c r="A10155" t="s">
        <v>699</v>
      </c>
      <c r="B10155" t="s">
        <v>76</v>
      </c>
      <c r="E10155" s="3">
        <f>HYPERLINK("https://sao.dolgi.msk.ru/account/1404127993/", 1404127993)</f>
        <v>1404127993</v>
      </c>
      <c r="F10155">
        <v>-2768.26</v>
      </c>
    </row>
    <row r="10156" spans="1:6" hidden="1" x14ac:dyDescent="0.25">
      <c r="A10156" t="s">
        <v>700</v>
      </c>
      <c r="B10156" t="s">
        <v>5</v>
      </c>
      <c r="E10156" s="3">
        <f>HYPERLINK("https://sao.dolgi.msk.ru/account/1404129008/", 1404129008)</f>
        <v>1404129008</v>
      </c>
      <c r="F10156">
        <v>-4220.99</v>
      </c>
    </row>
    <row r="10157" spans="1:6" hidden="1" x14ac:dyDescent="0.25">
      <c r="A10157" t="s">
        <v>700</v>
      </c>
      <c r="B10157" t="s">
        <v>6</v>
      </c>
      <c r="E10157" s="3">
        <f>HYPERLINK("https://sao.dolgi.msk.ru/account/1404129542/", 1404129542)</f>
        <v>1404129542</v>
      </c>
      <c r="F10157">
        <v>-3459.72</v>
      </c>
    </row>
    <row r="10158" spans="1:6" hidden="1" x14ac:dyDescent="0.25">
      <c r="A10158" t="s">
        <v>700</v>
      </c>
      <c r="B10158" t="s">
        <v>7</v>
      </c>
      <c r="E10158" s="3">
        <f>HYPERLINK("https://sao.dolgi.msk.ru/account/1404129489/", 1404129489)</f>
        <v>1404129489</v>
      </c>
      <c r="F10158">
        <v>-9657.2900000000009</v>
      </c>
    </row>
    <row r="10159" spans="1:6" hidden="1" x14ac:dyDescent="0.25">
      <c r="A10159" t="s">
        <v>700</v>
      </c>
      <c r="B10159" t="s">
        <v>8</v>
      </c>
      <c r="E10159" s="3">
        <f>HYPERLINK("https://sao.dolgi.msk.ru/account/1404128945/", 1404128945)</f>
        <v>1404128945</v>
      </c>
      <c r="F10159">
        <v>-6990.71</v>
      </c>
    </row>
    <row r="10160" spans="1:6" hidden="1" x14ac:dyDescent="0.25">
      <c r="A10160" t="s">
        <v>700</v>
      </c>
      <c r="B10160" t="s">
        <v>9</v>
      </c>
      <c r="E10160" s="3">
        <f>HYPERLINK("https://sao.dolgi.msk.ru/account/1404129606/", 1404129606)</f>
        <v>1404129606</v>
      </c>
      <c r="F10160">
        <v>-12042.93</v>
      </c>
    </row>
    <row r="10161" spans="1:6" hidden="1" x14ac:dyDescent="0.25">
      <c r="A10161" t="s">
        <v>700</v>
      </c>
      <c r="B10161" t="s">
        <v>10</v>
      </c>
      <c r="E10161" s="3">
        <f>HYPERLINK("https://sao.dolgi.msk.ru/account/1404129139/", 1404129139)</f>
        <v>1404129139</v>
      </c>
      <c r="F10161">
        <v>-2088.52</v>
      </c>
    </row>
    <row r="10162" spans="1:6" hidden="1" x14ac:dyDescent="0.25">
      <c r="A10162" t="s">
        <v>700</v>
      </c>
      <c r="B10162" t="s">
        <v>11</v>
      </c>
      <c r="E10162" s="3">
        <f>HYPERLINK("https://sao.dolgi.msk.ru/account/1404128988/", 1404128988)</f>
        <v>1404128988</v>
      </c>
      <c r="F10162">
        <v>-61.5</v>
      </c>
    </row>
    <row r="10163" spans="1:6" hidden="1" x14ac:dyDescent="0.25">
      <c r="A10163" t="s">
        <v>700</v>
      </c>
      <c r="B10163" t="s">
        <v>12</v>
      </c>
      <c r="E10163" s="3">
        <f>HYPERLINK("https://sao.dolgi.msk.ru/account/1404128865/", 1404128865)</f>
        <v>1404128865</v>
      </c>
      <c r="F10163">
        <v>-1127.0899999999999</v>
      </c>
    </row>
    <row r="10164" spans="1:6" hidden="1" x14ac:dyDescent="0.25">
      <c r="A10164" t="s">
        <v>700</v>
      </c>
      <c r="B10164" t="s">
        <v>13</v>
      </c>
      <c r="E10164" s="3">
        <f>HYPERLINK("https://sao.dolgi.msk.ru/account/1404128996/", 1404128996)</f>
        <v>1404128996</v>
      </c>
      <c r="F10164">
        <v>-1437.84</v>
      </c>
    </row>
    <row r="10165" spans="1:6" x14ac:dyDescent="0.25">
      <c r="A10165" t="s">
        <v>700</v>
      </c>
      <c r="B10165" t="s">
        <v>14</v>
      </c>
      <c r="C10165" s="5" t="str">
        <f>" кв. "&amp;B10165</f>
        <v xml:space="preserve"> кв. 10</v>
      </c>
      <c r="D10165" s="5" t="str">
        <f>CONCATENATE(A10165,C10165)</f>
        <v>Смольная ул., дом 47 кв. 10</v>
      </c>
      <c r="E10165" s="3">
        <f>HYPERLINK("https://sao.dolgi.msk.ru/account/1404129315/", 1404129315)</f>
        <v>1404129315</v>
      </c>
      <c r="F10165">
        <v>36334.78</v>
      </c>
    </row>
    <row r="10166" spans="1:6" hidden="1" x14ac:dyDescent="0.25">
      <c r="A10166" t="s">
        <v>700</v>
      </c>
      <c r="B10166" t="s">
        <v>15</v>
      </c>
      <c r="E10166" s="3">
        <f>HYPERLINK("https://sao.dolgi.msk.ru/account/1404129016/", 1404129016)</f>
        <v>1404129016</v>
      </c>
      <c r="F10166">
        <v>-3219.72</v>
      </c>
    </row>
    <row r="10167" spans="1:6" hidden="1" x14ac:dyDescent="0.25">
      <c r="A10167" t="s">
        <v>700</v>
      </c>
      <c r="B10167" t="s">
        <v>16</v>
      </c>
      <c r="E10167" s="3">
        <f>HYPERLINK("https://sao.dolgi.msk.ru/account/1404129024/", 1404129024)</f>
        <v>1404129024</v>
      </c>
      <c r="F10167">
        <v>-4429.62</v>
      </c>
    </row>
    <row r="10168" spans="1:6" hidden="1" x14ac:dyDescent="0.25">
      <c r="A10168" t="s">
        <v>700</v>
      </c>
      <c r="B10168" t="s">
        <v>17</v>
      </c>
      <c r="E10168" s="3">
        <f>HYPERLINK("https://sao.dolgi.msk.ru/account/1404129323/", 1404129323)</f>
        <v>1404129323</v>
      </c>
      <c r="F10168">
        <v>-2253.4499999999998</v>
      </c>
    </row>
    <row r="10169" spans="1:6" x14ac:dyDescent="0.25">
      <c r="A10169" t="s">
        <v>700</v>
      </c>
      <c r="B10169" t="s">
        <v>18</v>
      </c>
      <c r="C10169" s="5" t="str">
        <f>" кв. "&amp;B10169</f>
        <v xml:space="preserve"> кв. 14</v>
      </c>
      <c r="D10169" s="5" t="str">
        <f>CONCATENATE(A10169,C10169)</f>
        <v>Смольная ул., дом 47 кв. 14</v>
      </c>
      <c r="E10169" s="3">
        <f>HYPERLINK("https://sao.dolgi.msk.ru/account/1404129235/", 1404129235)</f>
        <v>1404129235</v>
      </c>
      <c r="F10169">
        <v>4579.75</v>
      </c>
    </row>
    <row r="10170" spans="1:6" hidden="1" x14ac:dyDescent="0.25">
      <c r="A10170" t="s">
        <v>700</v>
      </c>
      <c r="B10170" t="s">
        <v>19</v>
      </c>
      <c r="E10170" s="3">
        <f>HYPERLINK("https://sao.dolgi.msk.ru/account/1404129032/", 1404129032)</f>
        <v>1404129032</v>
      </c>
      <c r="F10170">
        <v>0</v>
      </c>
    </row>
    <row r="10171" spans="1:6" hidden="1" x14ac:dyDescent="0.25">
      <c r="A10171" t="s">
        <v>700</v>
      </c>
      <c r="B10171" t="s">
        <v>20</v>
      </c>
      <c r="E10171" s="3">
        <f>HYPERLINK("https://sao.dolgi.msk.ru/account/1404129331/", 1404129331)</f>
        <v>1404129331</v>
      </c>
      <c r="F10171">
        <v>-3707.1</v>
      </c>
    </row>
    <row r="10172" spans="1:6" hidden="1" x14ac:dyDescent="0.25">
      <c r="A10172" t="s">
        <v>700</v>
      </c>
      <c r="B10172" t="s">
        <v>21</v>
      </c>
      <c r="E10172" s="3">
        <f>HYPERLINK("https://sao.dolgi.msk.ru/account/1404129059/", 1404129059)</f>
        <v>1404129059</v>
      </c>
      <c r="F10172">
        <v>-1542.42</v>
      </c>
    </row>
    <row r="10173" spans="1:6" hidden="1" x14ac:dyDescent="0.25">
      <c r="A10173" t="s">
        <v>700</v>
      </c>
      <c r="B10173" t="s">
        <v>22</v>
      </c>
      <c r="E10173" s="3">
        <f>HYPERLINK("https://sao.dolgi.msk.ru/account/1404129454/", 1404129454)</f>
        <v>1404129454</v>
      </c>
      <c r="F10173">
        <v>-7254.01</v>
      </c>
    </row>
    <row r="10174" spans="1:6" hidden="1" x14ac:dyDescent="0.25">
      <c r="A10174" t="s">
        <v>700</v>
      </c>
      <c r="B10174" t="s">
        <v>23</v>
      </c>
      <c r="E10174" s="3">
        <f>HYPERLINK("https://sao.dolgi.msk.ru/account/1404129358/", 1404129358)</f>
        <v>1404129358</v>
      </c>
      <c r="F10174">
        <v>-4112.33</v>
      </c>
    </row>
    <row r="10175" spans="1:6" hidden="1" x14ac:dyDescent="0.25">
      <c r="A10175" t="s">
        <v>700</v>
      </c>
      <c r="B10175" t="s">
        <v>24</v>
      </c>
      <c r="E10175" s="3">
        <f>HYPERLINK("https://sao.dolgi.msk.ru/account/1404129243/", 1404129243)</f>
        <v>1404129243</v>
      </c>
      <c r="F10175">
        <v>-2474.37</v>
      </c>
    </row>
    <row r="10176" spans="1:6" hidden="1" x14ac:dyDescent="0.25">
      <c r="A10176" t="s">
        <v>700</v>
      </c>
      <c r="B10176" t="s">
        <v>25</v>
      </c>
      <c r="E10176" s="3">
        <f>HYPERLINK("https://sao.dolgi.msk.ru/account/1404128734/", 1404128734)</f>
        <v>1404128734</v>
      </c>
      <c r="F10176">
        <v>-4840.03</v>
      </c>
    </row>
    <row r="10177" spans="1:6" hidden="1" x14ac:dyDescent="0.25">
      <c r="A10177" t="s">
        <v>700</v>
      </c>
      <c r="B10177" t="s">
        <v>26</v>
      </c>
      <c r="E10177" s="3">
        <f>HYPERLINK("https://sao.dolgi.msk.ru/account/1404128881/", 1404128881)</f>
        <v>1404128881</v>
      </c>
      <c r="F10177">
        <v>-7898.63</v>
      </c>
    </row>
    <row r="10178" spans="1:6" hidden="1" x14ac:dyDescent="0.25">
      <c r="A10178" t="s">
        <v>700</v>
      </c>
      <c r="B10178" t="s">
        <v>27</v>
      </c>
      <c r="E10178" s="3">
        <f>HYPERLINK("https://sao.dolgi.msk.ru/account/1404128902/", 1404128902)</f>
        <v>1404128902</v>
      </c>
      <c r="F10178">
        <v>-2004.7</v>
      </c>
    </row>
    <row r="10179" spans="1:6" hidden="1" x14ac:dyDescent="0.25">
      <c r="A10179" t="s">
        <v>700</v>
      </c>
      <c r="B10179" t="s">
        <v>28</v>
      </c>
      <c r="E10179" s="3">
        <f>HYPERLINK("https://sao.dolgi.msk.ru/account/1404129147/", 1404129147)</f>
        <v>1404129147</v>
      </c>
      <c r="F10179">
        <v>-4255.38</v>
      </c>
    </row>
    <row r="10180" spans="1:6" hidden="1" x14ac:dyDescent="0.25">
      <c r="A10180" t="s">
        <v>700</v>
      </c>
      <c r="B10180" t="s">
        <v>29</v>
      </c>
      <c r="E10180" s="3">
        <f>HYPERLINK("https://sao.dolgi.msk.ru/account/1404129067/", 1404129067)</f>
        <v>1404129067</v>
      </c>
      <c r="F10180">
        <v>-5857.54</v>
      </c>
    </row>
    <row r="10181" spans="1:6" hidden="1" x14ac:dyDescent="0.25">
      <c r="A10181" t="s">
        <v>700</v>
      </c>
      <c r="B10181" t="s">
        <v>30</v>
      </c>
      <c r="E10181" s="3">
        <f>HYPERLINK("https://sao.dolgi.msk.ru/account/1404129075/", 1404129075)</f>
        <v>1404129075</v>
      </c>
      <c r="F10181">
        <v>-4137.8900000000003</v>
      </c>
    </row>
    <row r="10182" spans="1:6" x14ac:dyDescent="0.25">
      <c r="A10182" t="s">
        <v>700</v>
      </c>
      <c r="B10182" t="s">
        <v>31</v>
      </c>
      <c r="C10182" s="5" t="str">
        <f>" кв. "&amp;B10182</f>
        <v xml:space="preserve"> кв. 27</v>
      </c>
      <c r="D10182" s="5" t="str">
        <f>CONCATENATE(A10182,C10182)</f>
        <v>Смольная ул., дом 47 кв. 27</v>
      </c>
      <c r="E10182" s="3">
        <f>HYPERLINK("https://sao.dolgi.msk.ru/account/1404129374/", 1404129374)</f>
        <v>1404129374</v>
      </c>
      <c r="F10182">
        <v>17643.96</v>
      </c>
    </row>
    <row r="10183" spans="1:6" hidden="1" x14ac:dyDescent="0.25">
      <c r="A10183" t="s">
        <v>700</v>
      </c>
      <c r="B10183" t="s">
        <v>32</v>
      </c>
      <c r="E10183" s="3">
        <f>HYPERLINK("https://sao.dolgi.msk.ru/account/1404129462/", 1404129462)</f>
        <v>1404129462</v>
      </c>
      <c r="F10183">
        <v>-4236.7700000000004</v>
      </c>
    </row>
    <row r="10184" spans="1:6" hidden="1" x14ac:dyDescent="0.25">
      <c r="A10184" t="s">
        <v>700</v>
      </c>
      <c r="B10184" t="s">
        <v>33</v>
      </c>
      <c r="E10184" s="3">
        <f>HYPERLINK("https://sao.dolgi.msk.ru/account/1404129569/", 1404129569)</f>
        <v>1404129569</v>
      </c>
      <c r="F10184">
        <v>-5252.95</v>
      </c>
    </row>
    <row r="10185" spans="1:6" hidden="1" x14ac:dyDescent="0.25">
      <c r="A10185" t="s">
        <v>700</v>
      </c>
      <c r="B10185" t="s">
        <v>34</v>
      </c>
      <c r="E10185" s="3">
        <f>HYPERLINK("https://sao.dolgi.msk.ru/account/1404128742/", 1404128742)</f>
        <v>1404128742</v>
      </c>
      <c r="F10185">
        <v>-901.35</v>
      </c>
    </row>
    <row r="10186" spans="1:6" hidden="1" x14ac:dyDescent="0.25">
      <c r="A10186" t="s">
        <v>700</v>
      </c>
      <c r="B10186" t="s">
        <v>35</v>
      </c>
      <c r="E10186" s="3">
        <f>HYPERLINK("https://sao.dolgi.msk.ru/account/1404128929/", 1404128929)</f>
        <v>1404128929</v>
      </c>
      <c r="F10186">
        <v>0</v>
      </c>
    </row>
    <row r="10187" spans="1:6" hidden="1" x14ac:dyDescent="0.25">
      <c r="A10187" t="s">
        <v>700</v>
      </c>
      <c r="B10187" t="s">
        <v>36</v>
      </c>
      <c r="E10187" s="3">
        <f>HYPERLINK("https://sao.dolgi.msk.ru/account/1404129577/", 1404129577)</f>
        <v>1404129577</v>
      </c>
      <c r="F10187">
        <v>-374.03</v>
      </c>
    </row>
    <row r="10188" spans="1:6" hidden="1" x14ac:dyDescent="0.25">
      <c r="A10188" t="s">
        <v>700</v>
      </c>
      <c r="B10188" t="s">
        <v>37</v>
      </c>
      <c r="E10188" s="3">
        <f>HYPERLINK("https://sao.dolgi.msk.ru/account/1404129083/", 1404129083)</f>
        <v>1404129083</v>
      </c>
      <c r="F10188">
        <v>-724.19</v>
      </c>
    </row>
    <row r="10189" spans="1:6" hidden="1" x14ac:dyDescent="0.25">
      <c r="A10189" t="s">
        <v>700</v>
      </c>
      <c r="B10189" t="s">
        <v>38</v>
      </c>
      <c r="E10189" s="3">
        <f>HYPERLINK("https://sao.dolgi.msk.ru/account/1404129585/", 1404129585)</f>
        <v>1404129585</v>
      </c>
      <c r="F10189">
        <v>-2147.81</v>
      </c>
    </row>
    <row r="10190" spans="1:6" hidden="1" x14ac:dyDescent="0.25">
      <c r="A10190" t="s">
        <v>700</v>
      </c>
      <c r="B10190" t="s">
        <v>39</v>
      </c>
      <c r="E10190" s="3">
        <f>HYPERLINK("https://sao.dolgi.msk.ru/account/1404129155/", 1404129155)</f>
        <v>1404129155</v>
      </c>
      <c r="F10190">
        <v>-3167.36</v>
      </c>
    </row>
    <row r="10191" spans="1:6" x14ac:dyDescent="0.25">
      <c r="A10191" t="s">
        <v>700</v>
      </c>
      <c r="B10191" t="s">
        <v>40</v>
      </c>
      <c r="C10191" s="5" t="str">
        <f>" кв. "&amp;B10191</f>
        <v xml:space="preserve"> кв. 36</v>
      </c>
      <c r="D10191" s="5" t="str">
        <f>CONCATENATE(A10191,C10191)</f>
        <v>Смольная ул., дом 47 кв. 36</v>
      </c>
      <c r="E10191" s="3">
        <f>HYPERLINK("https://sao.dolgi.msk.ru/account/1404128769/", 1404128769)</f>
        <v>1404128769</v>
      </c>
      <c r="F10191">
        <v>104453.91</v>
      </c>
    </row>
    <row r="10192" spans="1:6" hidden="1" x14ac:dyDescent="0.25">
      <c r="A10192" t="s">
        <v>700</v>
      </c>
      <c r="B10192" t="s">
        <v>41</v>
      </c>
      <c r="E10192" s="3">
        <f>HYPERLINK("https://sao.dolgi.msk.ru/account/1404129382/", 1404129382)</f>
        <v>1404129382</v>
      </c>
      <c r="F10192">
        <v>-3681.05</v>
      </c>
    </row>
    <row r="10193" spans="1:6" hidden="1" x14ac:dyDescent="0.25">
      <c r="A10193" t="s">
        <v>700</v>
      </c>
      <c r="B10193" t="s">
        <v>42</v>
      </c>
      <c r="E10193" s="3">
        <f>HYPERLINK("https://sao.dolgi.msk.ru/account/1404129251/", 1404129251)</f>
        <v>1404129251</v>
      </c>
      <c r="F10193">
        <v>-2826.44</v>
      </c>
    </row>
    <row r="10194" spans="1:6" hidden="1" x14ac:dyDescent="0.25">
      <c r="A10194" t="s">
        <v>700</v>
      </c>
      <c r="B10194" t="s">
        <v>43</v>
      </c>
      <c r="E10194" s="3">
        <f>HYPERLINK("https://sao.dolgi.msk.ru/account/1404128937/", 1404128937)</f>
        <v>1404128937</v>
      </c>
      <c r="F10194">
        <v>-4587.6899999999996</v>
      </c>
    </row>
    <row r="10195" spans="1:6" hidden="1" x14ac:dyDescent="0.25">
      <c r="A10195" t="s">
        <v>700</v>
      </c>
      <c r="B10195" t="s">
        <v>44</v>
      </c>
      <c r="E10195" s="3">
        <f>HYPERLINK("https://sao.dolgi.msk.ru/account/1404129163/", 1404129163)</f>
        <v>1404129163</v>
      </c>
      <c r="F10195">
        <v>-368.52</v>
      </c>
    </row>
    <row r="10196" spans="1:6" hidden="1" x14ac:dyDescent="0.25">
      <c r="A10196" t="s">
        <v>700</v>
      </c>
      <c r="B10196" t="s">
        <v>45</v>
      </c>
      <c r="E10196" s="3">
        <f>HYPERLINK("https://sao.dolgi.msk.ru/account/1404129091/", 1404129091)</f>
        <v>1404129091</v>
      </c>
      <c r="F10196">
        <v>-3722.24</v>
      </c>
    </row>
    <row r="10197" spans="1:6" hidden="1" x14ac:dyDescent="0.25">
      <c r="A10197" t="s">
        <v>700</v>
      </c>
      <c r="B10197" t="s">
        <v>46</v>
      </c>
      <c r="E10197" s="3">
        <f>HYPERLINK("https://sao.dolgi.msk.ru/account/1404129104/", 1404129104)</f>
        <v>1404129104</v>
      </c>
      <c r="F10197">
        <v>-2819.62</v>
      </c>
    </row>
    <row r="10198" spans="1:6" hidden="1" x14ac:dyDescent="0.25">
      <c r="A10198" t="s">
        <v>700</v>
      </c>
      <c r="B10198" t="s">
        <v>47</v>
      </c>
      <c r="E10198" s="3">
        <f>HYPERLINK("https://sao.dolgi.msk.ru/account/1404129403/", 1404129403)</f>
        <v>1404129403</v>
      </c>
      <c r="F10198">
        <v>-2647.66</v>
      </c>
    </row>
    <row r="10199" spans="1:6" hidden="1" x14ac:dyDescent="0.25">
      <c r="A10199" t="s">
        <v>700</v>
      </c>
      <c r="B10199" t="s">
        <v>48</v>
      </c>
      <c r="E10199" s="3">
        <f>HYPERLINK("https://sao.dolgi.msk.ru/account/1404129278/", 1404129278)</f>
        <v>1404129278</v>
      </c>
      <c r="F10199">
        <v>-2388.1</v>
      </c>
    </row>
    <row r="10200" spans="1:6" hidden="1" x14ac:dyDescent="0.25">
      <c r="A10200" t="s">
        <v>700</v>
      </c>
      <c r="B10200" t="s">
        <v>49</v>
      </c>
      <c r="E10200" s="3">
        <f>HYPERLINK("https://sao.dolgi.msk.ru/account/1404129286/", 1404129286)</f>
        <v>1404129286</v>
      </c>
      <c r="F10200">
        <v>-5710.31</v>
      </c>
    </row>
    <row r="10201" spans="1:6" hidden="1" x14ac:dyDescent="0.25">
      <c r="A10201" t="s">
        <v>700</v>
      </c>
      <c r="B10201" t="s">
        <v>50</v>
      </c>
      <c r="E10201" s="3">
        <f>HYPERLINK("https://sao.dolgi.msk.ru/account/1404129171/", 1404129171)</f>
        <v>1404129171</v>
      </c>
      <c r="F10201">
        <v>-3459.84</v>
      </c>
    </row>
    <row r="10202" spans="1:6" hidden="1" x14ac:dyDescent="0.25">
      <c r="A10202" t="s">
        <v>700</v>
      </c>
      <c r="B10202" t="s">
        <v>51</v>
      </c>
      <c r="E10202" s="3">
        <f>HYPERLINK("https://sao.dolgi.msk.ru/account/1404129112/", 1404129112)</f>
        <v>1404129112</v>
      </c>
      <c r="F10202">
        <v>-32508.16</v>
      </c>
    </row>
    <row r="10203" spans="1:6" x14ac:dyDescent="0.25">
      <c r="A10203" t="s">
        <v>700</v>
      </c>
      <c r="B10203" t="s">
        <v>52</v>
      </c>
      <c r="C10203" s="5" t="str">
        <f t="shared" ref="C10203:C10204" si="439">" кв. "&amp;B10203</f>
        <v xml:space="preserve"> кв. 48</v>
      </c>
      <c r="D10203" s="5" t="str">
        <f>CONCATENATE(A10203,C10203)</f>
        <v>Смольная ул., дом 47 кв. 48</v>
      </c>
      <c r="E10203" s="3">
        <f>HYPERLINK("https://sao.dolgi.msk.ru/account/1404129593/", 1404129593)</f>
        <v>1404129593</v>
      </c>
      <c r="F10203">
        <v>6751.5</v>
      </c>
    </row>
    <row r="10204" spans="1:6" x14ac:dyDescent="0.25">
      <c r="A10204" t="s">
        <v>700</v>
      </c>
      <c r="B10204" t="s">
        <v>53</v>
      </c>
      <c r="C10204" s="5" t="str">
        <f t="shared" si="439"/>
        <v xml:space="preserve"> кв. 49</v>
      </c>
      <c r="D10204" s="5" t="str">
        <f>CONCATENATE(A10204,C10204)</f>
        <v>Смольная ул., дом 47 кв. 49</v>
      </c>
      <c r="E10204" s="3">
        <f>HYPERLINK("https://sao.dolgi.msk.ru/account/1404129198/", 1404129198)</f>
        <v>1404129198</v>
      </c>
      <c r="F10204">
        <v>10977.05</v>
      </c>
    </row>
    <row r="10205" spans="1:6" hidden="1" x14ac:dyDescent="0.25">
      <c r="A10205" t="s">
        <v>700</v>
      </c>
      <c r="B10205" t="s">
        <v>54</v>
      </c>
      <c r="E10205" s="3">
        <f>HYPERLINK("https://sao.dolgi.msk.ru/account/1404129497/", 1404129497)</f>
        <v>1404129497</v>
      </c>
      <c r="F10205">
        <v>-6571.43</v>
      </c>
    </row>
    <row r="10206" spans="1:6" hidden="1" x14ac:dyDescent="0.25">
      <c r="A10206" t="s">
        <v>700</v>
      </c>
      <c r="B10206" t="s">
        <v>55</v>
      </c>
      <c r="E10206" s="3">
        <f>HYPERLINK("https://sao.dolgi.msk.ru/account/1404128953/", 1404128953)</f>
        <v>1404128953</v>
      </c>
      <c r="F10206">
        <v>-432.07</v>
      </c>
    </row>
    <row r="10207" spans="1:6" hidden="1" x14ac:dyDescent="0.25">
      <c r="A10207" t="s">
        <v>700</v>
      </c>
      <c r="B10207" t="s">
        <v>56</v>
      </c>
      <c r="E10207" s="3">
        <f>HYPERLINK("https://sao.dolgi.msk.ru/account/1404128777/", 1404128777)</f>
        <v>1404128777</v>
      </c>
      <c r="F10207">
        <v>-5155.3100000000004</v>
      </c>
    </row>
    <row r="10208" spans="1:6" hidden="1" x14ac:dyDescent="0.25">
      <c r="A10208" t="s">
        <v>700</v>
      </c>
      <c r="B10208" t="s">
        <v>57</v>
      </c>
      <c r="E10208" s="3">
        <f>HYPERLINK("https://sao.dolgi.msk.ru/account/1404129411/", 1404129411)</f>
        <v>1404129411</v>
      </c>
      <c r="F10208">
        <v>-5740.57</v>
      </c>
    </row>
    <row r="10209" spans="1:6" hidden="1" x14ac:dyDescent="0.25">
      <c r="A10209" t="s">
        <v>700</v>
      </c>
      <c r="B10209" t="s">
        <v>58</v>
      </c>
      <c r="E10209" s="3">
        <f>HYPERLINK("https://sao.dolgi.msk.ru/account/1404129614/", 1404129614)</f>
        <v>1404129614</v>
      </c>
      <c r="F10209">
        <v>-3763.86</v>
      </c>
    </row>
    <row r="10210" spans="1:6" hidden="1" x14ac:dyDescent="0.25">
      <c r="A10210" t="s">
        <v>700</v>
      </c>
      <c r="B10210" t="s">
        <v>59</v>
      </c>
      <c r="E10210" s="3">
        <f>HYPERLINK("https://sao.dolgi.msk.ru/account/1404129438/", 1404129438)</f>
        <v>1404129438</v>
      </c>
      <c r="F10210">
        <v>-2515.0700000000002</v>
      </c>
    </row>
    <row r="10211" spans="1:6" hidden="1" x14ac:dyDescent="0.25">
      <c r="A10211" t="s">
        <v>700</v>
      </c>
      <c r="B10211" t="s">
        <v>60</v>
      </c>
      <c r="E10211" s="3">
        <f>HYPERLINK("https://sao.dolgi.msk.ru/account/1404129518/", 1404129518)</f>
        <v>1404129518</v>
      </c>
      <c r="F10211">
        <v>-2759.85</v>
      </c>
    </row>
    <row r="10212" spans="1:6" hidden="1" x14ac:dyDescent="0.25">
      <c r="A10212" t="s">
        <v>700</v>
      </c>
      <c r="B10212" t="s">
        <v>61</v>
      </c>
      <c r="E10212" s="3">
        <f>HYPERLINK("https://sao.dolgi.msk.ru/account/1404129622/", 1404129622)</f>
        <v>1404129622</v>
      </c>
      <c r="F10212">
        <v>-2410.8000000000002</v>
      </c>
    </row>
    <row r="10213" spans="1:6" hidden="1" x14ac:dyDescent="0.25">
      <c r="A10213" t="s">
        <v>700</v>
      </c>
      <c r="B10213" t="s">
        <v>62</v>
      </c>
      <c r="E10213" s="3">
        <f>HYPERLINK("https://sao.dolgi.msk.ru/account/1404129446/", 1404129446)</f>
        <v>1404129446</v>
      </c>
      <c r="F10213">
        <v>-2196.25</v>
      </c>
    </row>
    <row r="10214" spans="1:6" hidden="1" x14ac:dyDescent="0.25">
      <c r="A10214" t="s">
        <v>700</v>
      </c>
      <c r="B10214" t="s">
        <v>63</v>
      </c>
      <c r="E10214" s="3">
        <f>HYPERLINK("https://sao.dolgi.msk.ru/account/1404128785/", 1404128785)</f>
        <v>1404128785</v>
      </c>
      <c r="F10214">
        <v>-3379.35</v>
      </c>
    </row>
    <row r="10215" spans="1:6" hidden="1" x14ac:dyDescent="0.25">
      <c r="A10215" t="s">
        <v>700</v>
      </c>
      <c r="B10215" t="s">
        <v>64</v>
      </c>
      <c r="E10215" s="3">
        <f>HYPERLINK("https://sao.dolgi.msk.ru/account/1404129526/", 1404129526)</f>
        <v>1404129526</v>
      </c>
      <c r="F10215">
        <v>-4088.72</v>
      </c>
    </row>
    <row r="10216" spans="1:6" hidden="1" x14ac:dyDescent="0.25">
      <c r="A10216" t="s">
        <v>700</v>
      </c>
      <c r="B10216" t="s">
        <v>65</v>
      </c>
      <c r="E10216" s="3">
        <f>HYPERLINK("https://sao.dolgi.msk.ru/account/1404129534/", 1404129534)</f>
        <v>1404129534</v>
      </c>
      <c r="F10216">
        <v>-4728.21</v>
      </c>
    </row>
    <row r="10217" spans="1:6" hidden="1" x14ac:dyDescent="0.25">
      <c r="A10217" t="s">
        <v>700</v>
      </c>
      <c r="B10217" t="s">
        <v>66</v>
      </c>
      <c r="E10217" s="3">
        <f>HYPERLINK("https://sao.dolgi.msk.ru/account/1404128961/", 1404128961)</f>
        <v>1404128961</v>
      </c>
      <c r="F10217">
        <v>-6031.51</v>
      </c>
    </row>
    <row r="10218" spans="1:6" hidden="1" x14ac:dyDescent="0.25">
      <c r="A10218" t="s">
        <v>700</v>
      </c>
      <c r="B10218" t="s">
        <v>67</v>
      </c>
      <c r="E10218" s="3">
        <f>HYPERLINK("https://sao.dolgi.msk.ru/account/1404129219/", 1404129219)</f>
        <v>1404129219</v>
      </c>
      <c r="F10218">
        <v>0</v>
      </c>
    </row>
    <row r="10219" spans="1:6" hidden="1" x14ac:dyDescent="0.25">
      <c r="A10219" t="s">
        <v>700</v>
      </c>
      <c r="B10219" t="s">
        <v>68</v>
      </c>
      <c r="E10219" s="3">
        <f>HYPERLINK("https://sao.dolgi.msk.ru/account/1404128793/", 1404128793)</f>
        <v>1404128793</v>
      </c>
      <c r="F10219">
        <v>-1219.1400000000001</v>
      </c>
    </row>
    <row r="10220" spans="1:6" hidden="1" x14ac:dyDescent="0.25">
      <c r="A10220" t="s">
        <v>700</v>
      </c>
      <c r="B10220" t="s">
        <v>69</v>
      </c>
      <c r="E10220" s="3">
        <f>HYPERLINK("https://sao.dolgi.msk.ru/account/1404128806/", 1404128806)</f>
        <v>1404128806</v>
      </c>
      <c r="F10220">
        <v>-2035.55</v>
      </c>
    </row>
    <row r="10221" spans="1:6" hidden="1" x14ac:dyDescent="0.25">
      <c r="A10221" t="s">
        <v>700</v>
      </c>
      <c r="B10221" t="s">
        <v>70</v>
      </c>
      <c r="E10221" s="3">
        <f>HYPERLINK("https://sao.dolgi.msk.ru/account/1404128814/", 1404128814)</f>
        <v>1404128814</v>
      </c>
      <c r="F10221">
        <v>-4322.5600000000004</v>
      </c>
    </row>
    <row r="10222" spans="1:6" x14ac:dyDescent="0.25">
      <c r="A10222" t="s">
        <v>700</v>
      </c>
      <c r="B10222" t="s">
        <v>71</v>
      </c>
      <c r="C10222" s="5" t="str">
        <f>" кв. "&amp;B10222</f>
        <v xml:space="preserve"> кв. 67</v>
      </c>
      <c r="D10222" s="5" t="str">
        <f>CONCATENATE(A10222,C10222)</f>
        <v>Смольная ул., дом 47 кв. 67</v>
      </c>
      <c r="E10222" s="3">
        <f>HYPERLINK("https://sao.dolgi.msk.ru/account/1404129294/", 1404129294)</f>
        <v>1404129294</v>
      </c>
      <c r="F10222">
        <v>23118.21</v>
      </c>
    </row>
    <row r="10223" spans="1:6" hidden="1" x14ac:dyDescent="0.25">
      <c r="A10223" t="s">
        <v>700</v>
      </c>
      <c r="B10223" t="s">
        <v>72</v>
      </c>
      <c r="E10223" s="3">
        <f>HYPERLINK("https://sao.dolgi.msk.ru/account/1404129307/", 1404129307)</f>
        <v>1404129307</v>
      </c>
      <c r="F10223">
        <v>-3219.51</v>
      </c>
    </row>
    <row r="10224" spans="1:6" hidden="1" x14ac:dyDescent="0.25">
      <c r="A10224" t="s">
        <v>700</v>
      </c>
      <c r="B10224" t="s">
        <v>73</v>
      </c>
      <c r="E10224" s="3">
        <f>HYPERLINK("https://sao.dolgi.msk.ru/account/1404128822/", 1404128822)</f>
        <v>1404128822</v>
      </c>
      <c r="F10224">
        <v>-4130.8599999999997</v>
      </c>
    </row>
    <row r="10225" spans="1:6" hidden="1" x14ac:dyDescent="0.25">
      <c r="A10225" t="s">
        <v>700</v>
      </c>
      <c r="B10225" t="s">
        <v>74</v>
      </c>
      <c r="E10225" s="3">
        <f>HYPERLINK("https://sao.dolgi.msk.ru/account/1404128849/", 1404128849)</f>
        <v>1404128849</v>
      </c>
      <c r="F10225">
        <v>0</v>
      </c>
    </row>
    <row r="10226" spans="1:6" hidden="1" x14ac:dyDescent="0.25">
      <c r="A10226" t="s">
        <v>700</v>
      </c>
      <c r="B10226" t="s">
        <v>75</v>
      </c>
      <c r="E10226" s="3">
        <f>HYPERLINK("https://sao.dolgi.msk.ru/account/1404129227/", 1404129227)</f>
        <v>1404129227</v>
      </c>
      <c r="F10226">
        <v>0</v>
      </c>
    </row>
    <row r="10227" spans="1:6" hidden="1" x14ac:dyDescent="0.25">
      <c r="A10227" t="s">
        <v>700</v>
      </c>
      <c r="B10227" t="s">
        <v>76</v>
      </c>
      <c r="E10227" s="3">
        <f>HYPERLINK("https://sao.dolgi.msk.ru/account/1404128857/", 1404128857)</f>
        <v>1404128857</v>
      </c>
      <c r="F10227">
        <v>-1968.97</v>
      </c>
    </row>
    <row r="10228" spans="1:6" x14ac:dyDescent="0.25">
      <c r="A10228" t="s">
        <v>701</v>
      </c>
      <c r="B10228" t="s">
        <v>5</v>
      </c>
      <c r="C10228" s="5" t="str">
        <f>" кв. "&amp;B10228</f>
        <v xml:space="preserve"> кв. 1</v>
      </c>
      <c r="D10228" s="5" t="str">
        <f>CONCATENATE(A10228,C10228)</f>
        <v>Смольная ул., дом 51 к.2 кв. 1</v>
      </c>
      <c r="E10228" s="3">
        <f>HYPERLINK("https://sao.dolgi.msk.ru/account/1404282205/", 1404282205)</f>
        <v>1404282205</v>
      </c>
      <c r="F10228">
        <v>1886.8</v>
      </c>
    </row>
    <row r="10229" spans="1:6" hidden="1" x14ac:dyDescent="0.25">
      <c r="A10229" t="s">
        <v>701</v>
      </c>
      <c r="B10229" t="s">
        <v>6</v>
      </c>
      <c r="E10229" s="3">
        <f>HYPERLINK("https://sao.dolgi.msk.ru/account/1404282176/", 1404282176)</f>
        <v>1404282176</v>
      </c>
      <c r="F10229">
        <v>-550.05999999999995</v>
      </c>
    </row>
    <row r="10230" spans="1:6" hidden="1" x14ac:dyDescent="0.25">
      <c r="A10230" t="s">
        <v>701</v>
      </c>
      <c r="B10230" t="s">
        <v>7</v>
      </c>
      <c r="E10230" s="3">
        <f>HYPERLINK("https://sao.dolgi.msk.ru/account/1404280533/", 1404280533)</f>
        <v>1404280533</v>
      </c>
      <c r="F10230">
        <v>-1277.93</v>
      </c>
    </row>
    <row r="10231" spans="1:6" hidden="1" x14ac:dyDescent="0.25">
      <c r="A10231" t="s">
        <v>701</v>
      </c>
      <c r="B10231" t="s">
        <v>8</v>
      </c>
      <c r="E10231" s="3">
        <f>HYPERLINK("https://sao.dolgi.msk.ru/account/1404279372/", 1404279372)</f>
        <v>1404279372</v>
      </c>
      <c r="F10231">
        <v>0</v>
      </c>
    </row>
    <row r="10232" spans="1:6" hidden="1" x14ac:dyDescent="0.25">
      <c r="A10232" t="s">
        <v>701</v>
      </c>
      <c r="B10232" t="s">
        <v>9</v>
      </c>
      <c r="E10232" s="3">
        <f>HYPERLINK("https://sao.dolgi.msk.ru/account/1404281544/", 1404281544)</f>
        <v>1404281544</v>
      </c>
      <c r="F10232">
        <v>-379.24</v>
      </c>
    </row>
    <row r="10233" spans="1:6" hidden="1" x14ac:dyDescent="0.25">
      <c r="A10233" t="s">
        <v>701</v>
      </c>
      <c r="B10233" t="s">
        <v>10</v>
      </c>
      <c r="E10233" s="3">
        <f>HYPERLINK("https://sao.dolgi.msk.ru/account/1404281843/", 1404281843)</f>
        <v>1404281843</v>
      </c>
      <c r="F10233">
        <v>0</v>
      </c>
    </row>
    <row r="10234" spans="1:6" hidden="1" x14ac:dyDescent="0.25">
      <c r="A10234" t="s">
        <v>701</v>
      </c>
      <c r="B10234" t="s">
        <v>10</v>
      </c>
      <c r="E10234" s="3">
        <f>HYPERLINK("https://sao.dolgi.msk.ru/account/1404282213/", 1404282213)</f>
        <v>1404282213</v>
      </c>
      <c r="F10234">
        <v>-1830.35</v>
      </c>
    </row>
    <row r="10235" spans="1:6" hidden="1" x14ac:dyDescent="0.25">
      <c r="A10235" t="s">
        <v>701</v>
      </c>
      <c r="B10235" t="s">
        <v>11</v>
      </c>
      <c r="E10235" s="3">
        <f>HYPERLINK("https://sao.dolgi.msk.ru/account/1404279938/", 1404279938)</f>
        <v>1404279938</v>
      </c>
      <c r="F10235">
        <v>-3316.44</v>
      </c>
    </row>
    <row r="10236" spans="1:6" hidden="1" x14ac:dyDescent="0.25">
      <c r="A10236" t="s">
        <v>701</v>
      </c>
      <c r="B10236" t="s">
        <v>12</v>
      </c>
      <c r="E10236" s="3">
        <f>HYPERLINK("https://sao.dolgi.msk.ru/account/1404282416/", 1404282416)</f>
        <v>1404282416</v>
      </c>
      <c r="F10236">
        <v>-3244.69</v>
      </c>
    </row>
    <row r="10237" spans="1:6" hidden="1" x14ac:dyDescent="0.25">
      <c r="A10237" t="s">
        <v>701</v>
      </c>
      <c r="B10237" t="s">
        <v>13</v>
      </c>
      <c r="E10237" s="3">
        <f>HYPERLINK("https://sao.dolgi.msk.ru/account/1404282053/", 1404282053)</f>
        <v>1404282053</v>
      </c>
      <c r="F10237">
        <v>-2130.7600000000002</v>
      </c>
    </row>
    <row r="10238" spans="1:6" x14ac:dyDescent="0.25">
      <c r="A10238" t="s">
        <v>701</v>
      </c>
      <c r="B10238" t="s">
        <v>14</v>
      </c>
      <c r="C10238" s="5" t="str">
        <f>" кв. "&amp;B10238</f>
        <v xml:space="preserve"> кв. 10</v>
      </c>
      <c r="D10238" s="5" t="str">
        <f>CONCATENATE(A10238,C10238)</f>
        <v>Смольная ул., дом 51 к.2 кв. 10</v>
      </c>
      <c r="E10238" s="3">
        <f>HYPERLINK("https://sao.dolgi.msk.ru/account/1404281392/", 1404281392)</f>
        <v>1404281392</v>
      </c>
      <c r="F10238">
        <v>1834.54</v>
      </c>
    </row>
    <row r="10239" spans="1:6" hidden="1" x14ac:dyDescent="0.25">
      <c r="A10239" t="s">
        <v>701</v>
      </c>
      <c r="B10239" t="s">
        <v>15</v>
      </c>
      <c r="E10239" s="3">
        <f>HYPERLINK("https://sao.dolgi.msk.ru/account/1404281405/", 1404281405)</f>
        <v>1404281405</v>
      </c>
      <c r="F10239">
        <v>-3235.44</v>
      </c>
    </row>
    <row r="10240" spans="1:6" hidden="1" x14ac:dyDescent="0.25">
      <c r="A10240" t="s">
        <v>701</v>
      </c>
      <c r="B10240" t="s">
        <v>16</v>
      </c>
      <c r="E10240" s="3">
        <f>HYPERLINK("https://sao.dolgi.msk.ru/account/1404280736/", 1404280736)</f>
        <v>1404280736</v>
      </c>
      <c r="F10240">
        <v>-3075.09</v>
      </c>
    </row>
    <row r="10241" spans="1:6" x14ac:dyDescent="0.25">
      <c r="A10241" t="s">
        <v>701</v>
      </c>
      <c r="B10241" t="s">
        <v>17</v>
      </c>
      <c r="C10241" s="5" t="str">
        <f>" кв. "&amp;B10241</f>
        <v xml:space="preserve"> кв. 13</v>
      </c>
      <c r="D10241" s="5" t="str">
        <f>CONCATENATE(A10241,C10241)</f>
        <v>Смольная ул., дом 51 к.2 кв. 13</v>
      </c>
      <c r="E10241" s="3">
        <f>HYPERLINK("https://sao.dolgi.msk.ru/account/1404281595/", 1404281595)</f>
        <v>1404281595</v>
      </c>
      <c r="F10241">
        <v>2353.27</v>
      </c>
    </row>
    <row r="10242" spans="1:6" hidden="1" x14ac:dyDescent="0.25">
      <c r="A10242" t="s">
        <v>701</v>
      </c>
      <c r="B10242" t="s">
        <v>18</v>
      </c>
      <c r="E10242" s="3">
        <f>HYPERLINK("https://sao.dolgi.msk.ru/account/1404282627/", 1404282627)</f>
        <v>1404282627</v>
      </c>
      <c r="F10242">
        <v>0</v>
      </c>
    </row>
    <row r="10243" spans="1:6" hidden="1" x14ac:dyDescent="0.25">
      <c r="A10243" t="s">
        <v>701</v>
      </c>
      <c r="B10243" t="s">
        <v>19</v>
      </c>
      <c r="E10243" s="3">
        <f>HYPERLINK("https://sao.dolgi.msk.ru/account/1404280138/", 1404280138)</f>
        <v>1404280138</v>
      </c>
      <c r="F10243">
        <v>-3514.86</v>
      </c>
    </row>
    <row r="10244" spans="1:6" x14ac:dyDescent="0.25">
      <c r="A10244" t="s">
        <v>701</v>
      </c>
      <c r="B10244" t="s">
        <v>20</v>
      </c>
      <c r="C10244" s="5" t="str">
        <f>" кв. "&amp;B10244</f>
        <v xml:space="preserve"> кв. 16</v>
      </c>
      <c r="D10244" s="5" t="str">
        <f>CONCATENATE(A10244,C10244)</f>
        <v>Смольная ул., дом 51 к.2 кв. 16</v>
      </c>
      <c r="E10244" s="3">
        <f>HYPERLINK("https://sao.dolgi.msk.ru/account/1404281819/", 1404281819)</f>
        <v>1404281819</v>
      </c>
      <c r="F10244">
        <v>1589.95</v>
      </c>
    </row>
    <row r="10245" spans="1:6" hidden="1" x14ac:dyDescent="0.25">
      <c r="A10245" t="s">
        <v>701</v>
      </c>
      <c r="B10245" t="s">
        <v>21</v>
      </c>
      <c r="E10245" s="3">
        <f>HYPERLINK("https://sao.dolgi.msk.ru/account/1404279882/", 1404279882)</f>
        <v>1404279882</v>
      </c>
      <c r="F10245">
        <v>0</v>
      </c>
    </row>
    <row r="10246" spans="1:6" x14ac:dyDescent="0.25">
      <c r="A10246" t="s">
        <v>701</v>
      </c>
      <c r="B10246" t="s">
        <v>22</v>
      </c>
      <c r="C10246" s="5" t="str">
        <f t="shared" ref="C10246:C10247" si="440">" кв. "&amp;B10246</f>
        <v xml:space="preserve"> кв. 18</v>
      </c>
      <c r="D10246" s="5" t="str">
        <f>CONCATENATE(A10246,C10246)</f>
        <v>Смольная ул., дом 51 к.2 кв. 18</v>
      </c>
      <c r="E10246" s="3">
        <f>HYPERLINK("https://sao.dolgi.msk.ru/account/1404281579/", 1404281579)</f>
        <v>1404281579</v>
      </c>
      <c r="F10246">
        <v>1195.6099999999999</v>
      </c>
    </row>
    <row r="10247" spans="1:6" x14ac:dyDescent="0.25">
      <c r="A10247" t="s">
        <v>701</v>
      </c>
      <c r="B10247" t="s">
        <v>23</v>
      </c>
      <c r="C10247" s="5" t="str">
        <f t="shared" si="440"/>
        <v xml:space="preserve"> кв. 19</v>
      </c>
      <c r="D10247" s="5" t="str">
        <f>CONCATENATE(A10247,C10247)</f>
        <v>Смольная ул., дом 51 к.2 кв. 19</v>
      </c>
      <c r="E10247" s="3">
        <f>HYPERLINK("https://sao.dolgi.msk.ru/account/1404279524/", 1404279524)</f>
        <v>1404279524</v>
      </c>
      <c r="F10247">
        <v>1609.97</v>
      </c>
    </row>
    <row r="10248" spans="1:6" hidden="1" x14ac:dyDescent="0.25">
      <c r="A10248" t="s">
        <v>701</v>
      </c>
      <c r="B10248" t="s">
        <v>24</v>
      </c>
      <c r="E10248" s="3">
        <f>HYPERLINK("https://sao.dolgi.msk.ru/account/1404281835/", 1404281835)</f>
        <v>1404281835</v>
      </c>
      <c r="F10248">
        <v>0</v>
      </c>
    </row>
    <row r="10249" spans="1:6" hidden="1" x14ac:dyDescent="0.25">
      <c r="A10249" t="s">
        <v>701</v>
      </c>
      <c r="B10249" t="s">
        <v>25</v>
      </c>
      <c r="E10249" s="3">
        <f>HYPERLINK("https://sao.dolgi.msk.ru/account/1404282248/", 1404282248)</f>
        <v>1404282248</v>
      </c>
      <c r="F10249">
        <v>0</v>
      </c>
    </row>
    <row r="10250" spans="1:6" hidden="1" x14ac:dyDescent="0.25">
      <c r="A10250" t="s">
        <v>701</v>
      </c>
      <c r="B10250" t="s">
        <v>26</v>
      </c>
      <c r="E10250" s="3">
        <f>HYPERLINK("https://sao.dolgi.msk.ru/account/1404280672/", 1404280672)</f>
        <v>1404280672</v>
      </c>
      <c r="F10250">
        <v>-1742.51</v>
      </c>
    </row>
    <row r="10251" spans="1:6" hidden="1" x14ac:dyDescent="0.25">
      <c r="A10251" t="s">
        <v>701</v>
      </c>
      <c r="B10251" t="s">
        <v>27</v>
      </c>
      <c r="E10251" s="3">
        <f>HYPERLINK("https://sao.dolgi.msk.ru/account/1404280015/", 1404280015)</f>
        <v>1404280015</v>
      </c>
      <c r="F10251">
        <v>-2348</v>
      </c>
    </row>
    <row r="10252" spans="1:6" hidden="1" x14ac:dyDescent="0.25">
      <c r="A10252" t="s">
        <v>701</v>
      </c>
      <c r="B10252" t="s">
        <v>28</v>
      </c>
      <c r="E10252" s="3">
        <f>HYPERLINK("https://sao.dolgi.msk.ru/account/1404279698/", 1404279698)</f>
        <v>1404279698</v>
      </c>
      <c r="F10252">
        <v>-2086.88</v>
      </c>
    </row>
    <row r="10253" spans="1:6" hidden="1" x14ac:dyDescent="0.25">
      <c r="A10253" t="s">
        <v>701</v>
      </c>
      <c r="B10253" t="s">
        <v>29</v>
      </c>
      <c r="E10253" s="3">
        <f>HYPERLINK("https://sao.dolgi.msk.ru/account/1404281093/", 1404281093)</f>
        <v>1404281093</v>
      </c>
      <c r="F10253">
        <v>0</v>
      </c>
    </row>
    <row r="10254" spans="1:6" x14ac:dyDescent="0.25">
      <c r="A10254" t="s">
        <v>701</v>
      </c>
      <c r="B10254" t="s">
        <v>30</v>
      </c>
      <c r="C10254" s="5" t="str">
        <f t="shared" ref="C10254:C10255" si="441">" кв. "&amp;B10254</f>
        <v xml:space="preserve"> кв. 26</v>
      </c>
      <c r="D10254" s="5" t="str">
        <f>CONCATENATE(A10254,C10254)</f>
        <v>Смольная ул., дом 51 к.2 кв. 26</v>
      </c>
      <c r="E10254" s="3">
        <f>HYPERLINK("https://sao.dolgi.msk.ru/account/1404282512/", 1404282512)</f>
        <v>1404282512</v>
      </c>
      <c r="F10254">
        <v>1192.45</v>
      </c>
    </row>
    <row r="10255" spans="1:6" x14ac:dyDescent="0.25">
      <c r="A10255" t="s">
        <v>701</v>
      </c>
      <c r="B10255" t="s">
        <v>31</v>
      </c>
      <c r="C10255" s="5" t="str">
        <f t="shared" si="441"/>
        <v xml:space="preserve"> кв. 27</v>
      </c>
      <c r="D10255" s="5" t="str">
        <f>CONCATENATE(A10255,C10255)</f>
        <v>Смольная ул., дом 51 к.2 кв. 27</v>
      </c>
      <c r="E10255" s="3">
        <f>HYPERLINK("https://sao.dolgi.msk.ru/account/1404282301/", 1404282301)</f>
        <v>1404282301</v>
      </c>
      <c r="F10255">
        <v>1084.9000000000001</v>
      </c>
    </row>
    <row r="10256" spans="1:6" hidden="1" x14ac:dyDescent="0.25">
      <c r="A10256" t="s">
        <v>701</v>
      </c>
      <c r="B10256" t="s">
        <v>32</v>
      </c>
      <c r="E10256" s="3">
        <f>HYPERLINK("https://sao.dolgi.msk.ru/account/1404280568/", 1404280568)</f>
        <v>1404280568</v>
      </c>
      <c r="F10256">
        <v>-2782.49</v>
      </c>
    </row>
    <row r="10257" spans="1:6" x14ac:dyDescent="0.25">
      <c r="A10257" t="s">
        <v>701</v>
      </c>
      <c r="B10257" t="s">
        <v>33</v>
      </c>
      <c r="C10257" s="5" t="str">
        <f>" кв. "&amp;B10257</f>
        <v xml:space="preserve"> кв. 29</v>
      </c>
      <c r="D10257" s="5" t="str">
        <f>CONCATENATE(A10257,C10257)</f>
        <v>Смольная ул., дом 51 к.2 кв. 29</v>
      </c>
      <c r="E10257" s="3">
        <f>HYPERLINK("https://sao.dolgi.msk.ru/account/1404281827/", 1404281827)</f>
        <v>1404281827</v>
      </c>
      <c r="F10257">
        <v>2353.27</v>
      </c>
    </row>
    <row r="10258" spans="1:6" hidden="1" x14ac:dyDescent="0.25">
      <c r="A10258" t="s">
        <v>701</v>
      </c>
      <c r="B10258" t="s">
        <v>34</v>
      </c>
      <c r="E10258" s="3">
        <f>HYPERLINK("https://sao.dolgi.msk.ru/account/1404279727/", 1404279727)</f>
        <v>1404279727</v>
      </c>
      <c r="F10258">
        <v>-1747.13</v>
      </c>
    </row>
    <row r="10259" spans="1:6" hidden="1" x14ac:dyDescent="0.25">
      <c r="A10259" t="s">
        <v>701</v>
      </c>
      <c r="B10259" t="s">
        <v>35</v>
      </c>
      <c r="E10259" s="3">
        <f>HYPERLINK("https://sao.dolgi.msk.ru/account/1404280787/", 1404280787)</f>
        <v>1404280787</v>
      </c>
      <c r="F10259">
        <v>-2357.25</v>
      </c>
    </row>
    <row r="10260" spans="1:6" x14ac:dyDescent="0.25">
      <c r="A10260" t="s">
        <v>701</v>
      </c>
      <c r="B10260" t="s">
        <v>36</v>
      </c>
      <c r="C10260" s="5" t="str">
        <f>" кв. "&amp;B10260</f>
        <v xml:space="preserve"> кв. 32</v>
      </c>
      <c r="D10260" s="5" t="str">
        <f>CONCATENATE(A10260,C10260)</f>
        <v>Смольная ул., дом 51 к.2 кв. 32</v>
      </c>
      <c r="E10260" s="3">
        <f>HYPERLINK("https://sao.dolgi.msk.ru/account/1404281106/", 1404281106)</f>
        <v>1404281106</v>
      </c>
      <c r="F10260">
        <v>1904.13</v>
      </c>
    </row>
    <row r="10261" spans="1:6" hidden="1" x14ac:dyDescent="0.25">
      <c r="A10261" t="s">
        <v>701</v>
      </c>
      <c r="B10261" t="s">
        <v>37</v>
      </c>
      <c r="E10261" s="3">
        <f>HYPERLINK("https://sao.dolgi.msk.ru/account/1404282045/", 1404282045)</f>
        <v>1404282045</v>
      </c>
      <c r="F10261">
        <v>0</v>
      </c>
    </row>
    <row r="10262" spans="1:6" x14ac:dyDescent="0.25">
      <c r="A10262" t="s">
        <v>701</v>
      </c>
      <c r="B10262" t="s">
        <v>38</v>
      </c>
      <c r="C10262" s="5" t="str">
        <f>" кв. "&amp;B10262</f>
        <v xml:space="preserve"> кв. 34</v>
      </c>
      <c r="D10262" s="5" t="str">
        <f>CONCATENATE(A10262,C10262)</f>
        <v>Смольная ул., дом 51 к.2 кв. 34</v>
      </c>
      <c r="E10262" s="3">
        <f>HYPERLINK("https://sao.dolgi.msk.ru/account/1404280955/", 1404280955)</f>
        <v>1404280955</v>
      </c>
      <c r="F10262">
        <v>1201.94</v>
      </c>
    </row>
    <row r="10263" spans="1:6" hidden="1" x14ac:dyDescent="0.25">
      <c r="A10263" t="s">
        <v>701</v>
      </c>
      <c r="B10263" t="s">
        <v>39</v>
      </c>
      <c r="E10263" s="3">
        <f>HYPERLINK("https://sao.dolgi.msk.ru/account/1404282141/", 1404282141)</f>
        <v>1404282141</v>
      </c>
      <c r="F10263">
        <v>-2366.5</v>
      </c>
    </row>
    <row r="10264" spans="1:6" x14ac:dyDescent="0.25">
      <c r="A10264" t="s">
        <v>701</v>
      </c>
      <c r="B10264" t="s">
        <v>40</v>
      </c>
      <c r="C10264" s="5" t="str">
        <f>" кв. "&amp;B10264</f>
        <v xml:space="preserve"> кв. 36</v>
      </c>
      <c r="D10264" s="5" t="str">
        <f>CONCATENATE(A10264,C10264)</f>
        <v>Смольная ул., дом 51 к.2 кв. 36</v>
      </c>
      <c r="E10264" s="3">
        <f>HYPERLINK("https://sao.dolgi.msk.ru/account/1404280832/", 1404280832)</f>
        <v>1404280832</v>
      </c>
      <c r="F10264">
        <v>1907.29</v>
      </c>
    </row>
    <row r="10265" spans="1:6" hidden="1" x14ac:dyDescent="0.25">
      <c r="A10265" t="s">
        <v>701</v>
      </c>
      <c r="B10265" t="s">
        <v>41</v>
      </c>
      <c r="E10265" s="3">
        <f>HYPERLINK("https://sao.dolgi.msk.ru/account/1404281907/", 1404281907)</f>
        <v>1404281907</v>
      </c>
      <c r="F10265">
        <v>-3448.06</v>
      </c>
    </row>
    <row r="10266" spans="1:6" hidden="1" x14ac:dyDescent="0.25">
      <c r="A10266" t="s">
        <v>701</v>
      </c>
      <c r="B10266" t="s">
        <v>42</v>
      </c>
      <c r="E10266" s="3">
        <f>HYPERLINK("https://sao.dolgi.msk.ru/account/1404282272/", 1404282272)</f>
        <v>1404282272</v>
      </c>
      <c r="F10266">
        <v>-1751.76</v>
      </c>
    </row>
    <row r="10267" spans="1:6" hidden="1" x14ac:dyDescent="0.25">
      <c r="A10267" t="s">
        <v>701</v>
      </c>
      <c r="B10267" t="s">
        <v>43</v>
      </c>
      <c r="E10267" s="3">
        <f>HYPERLINK("https://sao.dolgi.msk.ru/account/1404280293/", 1404280293)</f>
        <v>1404280293</v>
      </c>
      <c r="F10267">
        <v>-2366.5</v>
      </c>
    </row>
    <row r="10268" spans="1:6" x14ac:dyDescent="0.25">
      <c r="A10268" t="s">
        <v>701</v>
      </c>
      <c r="B10268" t="s">
        <v>44</v>
      </c>
      <c r="C10268" s="5" t="str">
        <f>" кв. "&amp;B10268</f>
        <v xml:space="preserve"> кв. 40</v>
      </c>
      <c r="D10268" s="5" t="str">
        <f>CONCATENATE(A10268,C10268)</f>
        <v>Смольная ул., дом 51 к.2 кв. 40</v>
      </c>
      <c r="E10268" s="3">
        <f>HYPERLINK("https://sao.dolgi.msk.ru/account/1404280285/", 1404280285)</f>
        <v>1404280285</v>
      </c>
      <c r="F10268">
        <v>1907.29</v>
      </c>
    </row>
    <row r="10269" spans="1:6" hidden="1" x14ac:dyDescent="0.25">
      <c r="A10269" t="s">
        <v>701</v>
      </c>
      <c r="B10269" t="s">
        <v>45</v>
      </c>
      <c r="E10269" s="3">
        <f>HYPERLINK("https://sao.dolgi.msk.ru/account/1404280074/", 1404280074)</f>
        <v>1404280074</v>
      </c>
      <c r="F10269">
        <v>-3448.06</v>
      </c>
    </row>
    <row r="10270" spans="1:6" x14ac:dyDescent="0.25">
      <c r="A10270" t="s">
        <v>701</v>
      </c>
      <c r="B10270" t="s">
        <v>46</v>
      </c>
      <c r="C10270" s="5" t="str">
        <f>" кв. "&amp;B10270</f>
        <v xml:space="preserve"> кв. 42</v>
      </c>
      <c r="D10270" s="5" t="str">
        <f>CONCATENATE(A10270,C10270)</f>
        <v>Смольная ул., дом 51 к.2 кв. 42</v>
      </c>
      <c r="E10270" s="3">
        <f>HYPERLINK("https://sao.dolgi.msk.ru/account/1404281042/", 1404281042)</f>
        <v>1404281042</v>
      </c>
      <c r="F10270">
        <v>1195.6099999999999</v>
      </c>
    </row>
    <row r="10271" spans="1:6" hidden="1" x14ac:dyDescent="0.25">
      <c r="A10271" t="s">
        <v>701</v>
      </c>
      <c r="B10271" t="s">
        <v>47</v>
      </c>
      <c r="E10271" s="3">
        <f>HYPERLINK("https://sao.dolgi.msk.ru/account/1404279946/", 1404279946)</f>
        <v>1404279946</v>
      </c>
      <c r="F10271">
        <v>0</v>
      </c>
    </row>
    <row r="10272" spans="1:6" x14ac:dyDescent="0.25">
      <c r="A10272" t="s">
        <v>701</v>
      </c>
      <c r="B10272" t="s">
        <v>48</v>
      </c>
      <c r="C10272" s="5" t="str">
        <f t="shared" ref="C10272:C10273" si="442">" кв. "&amp;B10272</f>
        <v xml:space="preserve"> кв. 44</v>
      </c>
      <c r="D10272" s="5" t="str">
        <f>CONCATENATE(A10272,C10272)</f>
        <v>Смольная ул., дом 51 к.2 кв. 44</v>
      </c>
      <c r="E10272" s="3">
        <f>HYPERLINK("https://sao.dolgi.msk.ru/account/1404280007/", 1404280007)</f>
        <v>1404280007</v>
      </c>
      <c r="F10272">
        <v>1379.06</v>
      </c>
    </row>
    <row r="10273" spans="1:6" x14ac:dyDescent="0.25">
      <c r="A10273" t="s">
        <v>701</v>
      </c>
      <c r="B10273" t="s">
        <v>49</v>
      </c>
      <c r="C10273" s="5" t="str">
        <f t="shared" si="442"/>
        <v xml:space="preserve"> кв. 45</v>
      </c>
      <c r="D10273" s="5" t="str">
        <f>CONCATENATE(A10273,C10273)</f>
        <v>Смольная ул., дом 51 к.2 кв. 45</v>
      </c>
      <c r="E10273" s="3">
        <f>HYPERLINK("https://sao.dolgi.msk.ru/account/1404281966/", 1404281966)</f>
        <v>1404281966</v>
      </c>
      <c r="F10273">
        <v>2356.44</v>
      </c>
    </row>
    <row r="10274" spans="1:6" hidden="1" x14ac:dyDescent="0.25">
      <c r="A10274" t="s">
        <v>701</v>
      </c>
      <c r="B10274" t="s">
        <v>50</v>
      </c>
      <c r="E10274" s="3">
        <f>HYPERLINK("https://sao.dolgi.msk.ru/account/1404280699/", 1404280699)</f>
        <v>1404280699</v>
      </c>
      <c r="F10274">
        <v>-1506.39</v>
      </c>
    </row>
    <row r="10275" spans="1:6" hidden="1" x14ac:dyDescent="0.25">
      <c r="A10275" t="s">
        <v>701</v>
      </c>
      <c r="B10275" t="s">
        <v>51</v>
      </c>
      <c r="E10275" s="3">
        <f>HYPERLINK("https://sao.dolgi.msk.ru/account/1404282475/", 1404282475)</f>
        <v>1404282475</v>
      </c>
      <c r="F10275">
        <v>-2366.5</v>
      </c>
    </row>
    <row r="10276" spans="1:6" hidden="1" x14ac:dyDescent="0.25">
      <c r="A10276" t="s">
        <v>701</v>
      </c>
      <c r="B10276" t="s">
        <v>52</v>
      </c>
      <c r="E10276" s="3">
        <f>HYPERLINK("https://sao.dolgi.msk.ru/account/1404281739/", 1404281739)</f>
        <v>1404281739</v>
      </c>
      <c r="F10276">
        <v>-2787.11</v>
      </c>
    </row>
    <row r="10277" spans="1:6" hidden="1" x14ac:dyDescent="0.25">
      <c r="A10277" t="s">
        <v>701</v>
      </c>
      <c r="B10277" t="s">
        <v>53</v>
      </c>
      <c r="E10277" s="3">
        <f>HYPERLINK("https://sao.dolgi.msk.ru/account/1404279575/", 1404279575)</f>
        <v>1404279575</v>
      </c>
      <c r="F10277">
        <v>0</v>
      </c>
    </row>
    <row r="10278" spans="1:6" hidden="1" x14ac:dyDescent="0.25">
      <c r="A10278" t="s">
        <v>701</v>
      </c>
      <c r="B10278" t="s">
        <v>54</v>
      </c>
      <c r="E10278" s="3">
        <f>HYPERLINK("https://sao.dolgi.msk.ru/account/1404281667/", 1404281667)</f>
        <v>1404281667</v>
      </c>
      <c r="F10278">
        <v>-989.12</v>
      </c>
    </row>
    <row r="10279" spans="1:6" hidden="1" x14ac:dyDescent="0.25">
      <c r="A10279" t="s">
        <v>701</v>
      </c>
      <c r="B10279" t="s">
        <v>55</v>
      </c>
      <c r="E10279" s="3">
        <f>HYPERLINK("https://sao.dolgi.msk.ru/account/1404280197/", 1404280197)</f>
        <v>1404280197</v>
      </c>
      <c r="F10279">
        <v>0</v>
      </c>
    </row>
    <row r="10280" spans="1:6" x14ac:dyDescent="0.25">
      <c r="A10280" t="s">
        <v>701</v>
      </c>
      <c r="B10280" t="s">
        <v>55</v>
      </c>
      <c r="C10280" s="5" t="str">
        <f t="shared" ref="C10280:C10281" si="443">" кв. "&amp;B10280</f>
        <v xml:space="preserve"> кв. 51</v>
      </c>
      <c r="D10280" s="5" t="str">
        <f>CONCATENATE(A10280,C10280)</f>
        <v>Смольная ул., дом 51 к.2 кв. 51</v>
      </c>
      <c r="E10280" s="3">
        <f>HYPERLINK("https://sao.dolgi.msk.ru/account/1404281384/", 1404281384)</f>
        <v>1404281384</v>
      </c>
      <c r="F10280">
        <v>809.73</v>
      </c>
    </row>
    <row r="10281" spans="1:6" x14ac:dyDescent="0.25">
      <c r="A10281" t="s">
        <v>701</v>
      </c>
      <c r="B10281" t="s">
        <v>56</v>
      </c>
      <c r="C10281" s="5" t="str">
        <f t="shared" si="443"/>
        <v xml:space="preserve"> кв. 52</v>
      </c>
      <c r="D10281" s="5" t="str">
        <f>CONCATENATE(A10281,C10281)</f>
        <v>Смольная ул., дом 51 к.2 кв. 52</v>
      </c>
      <c r="E10281" s="3">
        <f>HYPERLINK("https://sao.dolgi.msk.ru/account/1404280437/", 1404280437)</f>
        <v>1404280437</v>
      </c>
      <c r="F10281">
        <v>1900.96</v>
      </c>
    </row>
    <row r="10282" spans="1:6" hidden="1" x14ac:dyDescent="0.25">
      <c r="A10282" t="s">
        <v>701</v>
      </c>
      <c r="B10282" t="s">
        <v>57</v>
      </c>
      <c r="E10282" s="3">
        <f>HYPERLINK("https://sao.dolgi.msk.ru/account/1404281552/", 1404281552)</f>
        <v>1404281552</v>
      </c>
      <c r="F10282">
        <v>-3448.06</v>
      </c>
    </row>
    <row r="10283" spans="1:6" x14ac:dyDescent="0.25">
      <c r="A10283" t="s">
        <v>701</v>
      </c>
      <c r="B10283" t="s">
        <v>58</v>
      </c>
      <c r="C10283" s="5" t="str">
        <f t="shared" ref="C10283:C10285" si="444">" кв. "&amp;B10283</f>
        <v xml:space="preserve"> кв. 54</v>
      </c>
      <c r="D10283" s="5" t="str">
        <f>CONCATENATE(A10283,C10283)</f>
        <v>Смольная ул., дом 51 к.2 кв. 54</v>
      </c>
      <c r="E10283" s="3">
        <f>HYPERLINK("https://sao.dolgi.msk.ru/account/1404281157/", 1404281157)</f>
        <v>1404281157</v>
      </c>
      <c r="F10283">
        <v>1201.94</v>
      </c>
    </row>
    <row r="10284" spans="1:6" x14ac:dyDescent="0.25">
      <c r="A10284" t="s">
        <v>701</v>
      </c>
      <c r="B10284" t="s">
        <v>59</v>
      </c>
      <c r="C10284" s="5" t="str">
        <f t="shared" si="444"/>
        <v xml:space="preserve"> кв. 55</v>
      </c>
      <c r="D10284" s="5" t="str">
        <f>CONCATENATE(A10284,C10284)</f>
        <v>Смольная ул., дом 51 к.2 кв. 55</v>
      </c>
      <c r="E10284" s="3">
        <f>HYPERLINK("https://sao.dolgi.msk.ru/account/1404280752/", 1404280752)</f>
        <v>1404280752</v>
      </c>
      <c r="F10284">
        <v>1616.29</v>
      </c>
    </row>
    <row r="10285" spans="1:6" x14ac:dyDescent="0.25">
      <c r="A10285" t="s">
        <v>701</v>
      </c>
      <c r="B10285" t="s">
        <v>60</v>
      </c>
      <c r="C10285" s="5" t="str">
        <f t="shared" si="444"/>
        <v xml:space="preserve"> кв. 56</v>
      </c>
      <c r="D10285" s="5" t="str">
        <f>CONCATENATE(A10285,C10285)</f>
        <v>Смольная ул., дом 51 к.2 кв. 56</v>
      </c>
      <c r="E10285" s="3">
        <f>HYPERLINK("https://sao.dolgi.msk.ru/account/1404279479/", 1404279479)</f>
        <v>1404279479</v>
      </c>
      <c r="F10285">
        <v>1900.96</v>
      </c>
    </row>
    <row r="10286" spans="1:6" hidden="1" x14ac:dyDescent="0.25">
      <c r="A10286" t="s">
        <v>701</v>
      </c>
      <c r="B10286" t="s">
        <v>61</v>
      </c>
      <c r="E10286" s="3">
        <f>HYPERLINK("https://sao.dolgi.msk.ru/account/1404281325/", 1404281325)</f>
        <v>1404281325</v>
      </c>
      <c r="F10286">
        <v>-3452.68</v>
      </c>
    </row>
    <row r="10287" spans="1:6" x14ac:dyDescent="0.25">
      <c r="A10287" t="s">
        <v>701</v>
      </c>
      <c r="B10287" t="s">
        <v>62</v>
      </c>
      <c r="C10287" s="5" t="str">
        <f>" кв. "&amp;B10287</f>
        <v xml:space="preserve"> кв. 58</v>
      </c>
      <c r="D10287" s="5" t="str">
        <f>CONCATENATE(A10287,C10287)</f>
        <v>Смольная ул., дом 51 к.2 кв. 58</v>
      </c>
      <c r="E10287" s="3">
        <f>HYPERLINK("https://sao.dolgi.msk.ru/account/1404282483/", 1404282483)</f>
        <v>1404282483</v>
      </c>
      <c r="F10287">
        <v>1201.94</v>
      </c>
    </row>
    <row r="10288" spans="1:6" hidden="1" x14ac:dyDescent="0.25">
      <c r="A10288" t="s">
        <v>701</v>
      </c>
      <c r="B10288" t="s">
        <v>63</v>
      </c>
      <c r="E10288" s="3">
        <f>HYPERLINK("https://sao.dolgi.msk.ru/account/1404281413/", 1404281413)</f>
        <v>1404281413</v>
      </c>
      <c r="F10288">
        <v>0</v>
      </c>
    </row>
    <row r="10289" spans="1:6" hidden="1" x14ac:dyDescent="0.25">
      <c r="A10289" t="s">
        <v>701</v>
      </c>
      <c r="B10289" t="s">
        <v>64</v>
      </c>
      <c r="E10289" s="3">
        <f>HYPERLINK("https://sao.dolgi.msk.ru/account/1404280859/", 1404280859)</f>
        <v>1404280859</v>
      </c>
      <c r="F10289">
        <v>-2773.24</v>
      </c>
    </row>
    <row r="10290" spans="1:6" hidden="1" x14ac:dyDescent="0.25">
      <c r="A10290" t="s">
        <v>701</v>
      </c>
      <c r="B10290" t="s">
        <v>65</v>
      </c>
      <c r="E10290" s="3">
        <f>HYPERLINK("https://sao.dolgi.msk.ru/account/1404280912/", 1404280912)</f>
        <v>1404280912</v>
      </c>
      <c r="F10290">
        <v>-3443.44</v>
      </c>
    </row>
    <row r="10291" spans="1:6" hidden="1" x14ac:dyDescent="0.25">
      <c r="A10291" t="s">
        <v>701</v>
      </c>
      <c r="B10291" t="s">
        <v>66</v>
      </c>
      <c r="E10291" s="3">
        <f>HYPERLINK("https://sao.dolgi.msk.ru/account/1404280226/", 1404280226)</f>
        <v>1404280226</v>
      </c>
      <c r="F10291">
        <v>0</v>
      </c>
    </row>
    <row r="10292" spans="1:6" hidden="1" x14ac:dyDescent="0.25">
      <c r="A10292" t="s">
        <v>701</v>
      </c>
      <c r="B10292" t="s">
        <v>67</v>
      </c>
      <c r="E10292" s="3">
        <f>HYPERLINK("https://sao.dolgi.msk.ru/account/1404282192/", 1404282192)</f>
        <v>1404282192</v>
      </c>
      <c r="F10292">
        <v>-1463.29</v>
      </c>
    </row>
    <row r="10293" spans="1:6" x14ac:dyDescent="0.25">
      <c r="A10293" t="s">
        <v>701</v>
      </c>
      <c r="B10293" t="s">
        <v>68</v>
      </c>
      <c r="C10293" s="5" t="str">
        <f>" кв. "&amp;B10293</f>
        <v xml:space="preserve"> кв. 64</v>
      </c>
      <c r="D10293" s="5" t="str">
        <f>CONCATENATE(A10293,C10293)</f>
        <v>Смольная ул., дом 51 к.2 кв. 64</v>
      </c>
      <c r="E10293" s="3">
        <f>HYPERLINK("https://sao.dolgi.msk.ru/account/1404279436/", 1404279436)</f>
        <v>1404279436</v>
      </c>
      <c r="F10293">
        <v>1907.29</v>
      </c>
    </row>
    <row r="10294" spans="1:6" hidden="1" x14ac:dyDescent="0.25">
      <c r="A10294" t="s">
        <v>701</v>
      </c>
      <c r="B10294" t="s">
        <v>69</v>
      </c>
      <c r="E10294" s="3">
        <f>HYPERLINK("https://sao.dolgi.msk.ru/account/1404282125/", 1404282125)</f>
        <v>1404282125</v>
      </c>
      <c r="F10294">
        <v>0</v>
      </c>
    </row>
    <row r="10295" spans="1:6" hidden="1" x14ac:dyDescent="0.25">
      <c r="A10295" t="s">
        <v>701</v>
      </c>
      <c r="B10295" t="s">
        <v>70</v>
      </c>
      <c r="E10295" s="3">
        <f>HYPERLINK("https://sao.dolgi.msk.ru/account/1404281632/", 1404281632)</f>
        <v>1404281632</v>
      </c>
      <c r="F10295">
        <v>-1545</v>
      </c>
    </row>
    <row r="10296" spans="1:6" x14ac:dyDescent="0.25">
      <c r="A10296" t="s">
        <v>701</v>
      </c>
      <c r="B10296" t="s">
        <v>71</v>
      </c>
      <c r="C10296" s="5" t="str">
        <f>" кв. "&amp;B10296</f>
        <v xml:space="preserve"> кв. 67</v>
      </c>
      <c r="D10296" s="5" t="str">
        <f>CONCATENATE(A10296,C10296)</f>
        <v>Смольная ул., дом 51 к.2 кв. 67</v>
      </c>
      <c r="E10296" s="3">
        <f>HYPERLINK("https://sao.dolgi.msk.ru/account/1404281675/", 1404281675)</f>
        <v>1404281675</v>
      </c>
      <c r="F10296">
        <v>1693.35</v>
      </c>
    </row>
    <row r="10297" spans="1:6" hidden="1" x14ac:dyDescent="0.25">
      <c r="A10297" t="s">
        <v>701</v>
      </c>
      <c r="B10297" t="s">
        <v>72</v>
      </c>
      <c r="E10297" s="3">
        <f>HYPERLINK("https://sao.dolgi.msk.ru/account/1404282619/", 1404282619)</f>
        <v>1404282619</v>
      </c>
      <c r="F10297">
        <v>-2745.52</v>
      </c>
    </row>
    <row r="10298" spans="1:6" hidden="1" x14ac:dyDescent="0.25">
      <c r="A10298" t="s">
        <v>701</v>
      </c>
      <c r="B10298" t="s">
        <v>73</v>
      </c>
      <c r="E10298" s="3">
        <f>HYPERLINK("https://sao.dolgi.msk.ru/account/1404279401/", 1404279401)</f>
        <v>1404279401</v>
      </c>
      <c r="F10298">
        <v>0</v>
      </c>
    </row>
    <row r="10299" spans="1:6" hidden="1" x14ac:dyDescent="0.25">
      <c r="A10299" t="s">
        <v>701</v>
      </c>
      <c r="B10299" t="s">
        <v>74</v>
      </c>
      <c r="E10299" s="3">
        <f>HYPERLINK("https://sao.dolgi.msk.ru/account/1404282299/", 1404282299)</f>
        <v>1404282299</v>
      </c>
      <c r="F10299">
        <v>-3381.12</v>
      </c>
    </row>
    <row r="10300" spans="1:6" hidden="1" x14ac:dyDescent="0.25">
      <c r="A10300" t="s">
        <v>701</v>
      </c>
      <c r="B10300" t="s">
        <v>75</v>
      </c>
      <c r="E10300" s="3">
        <f>HYPERLINK("https://sao.dolgi.msk.ru/account/1404282256/", 1404282256)</f>
        <v>1404282256</v>
      </c>
      <c r="F10300">
        <v>-2954.44</v>
      </c>
    </row>
    <row r="10301" spans="1:6" hidden="1" x14ac:dyDescent="0.25">
      <c r="A10301" t="s">
        <v>701</v>
      </c>
      <c r="B10301" t="s">
        <v>76</v>
      </c>
      <c r="E10301" s="3">
        <f>HYPERLINK("https://sao.dolgi.msk.ru/account/1404279639/", 1404279639)</f>
        <v>1404279639</v>
      </c>
      <c r="F10301">
        <v>-2426.5700000000002</v>
      </c>
    </row>
    <row r="10302" spans="1:6" x14ac:dyDescent="0.25">
      <c r="A10302" t="s">
        <v>701</v>
      </c>
      <c r="B10302" t="s">
        <v>77</v>
      </c>
      <c r="C10302" s="5" t="str">
        <f t="shared" ref="C10302:C10303" si="445">" кв. "&amp;B10302</f>
        <v xml:space="preserve"> кв. 73</v>
      </c>
      <c r="D10302" s="5" t="str">
        <f>CONCATENATE(A10302,C10302)</f>
        <v>Смольная ул., дом 51 к.2 кв. 73</v>
      </c>
      <c r="E10302" s="3">
        <f>HYPERLINK("https://sao.dolgi.msk.ru/account/1404281886/", 1404281886)</f>
        <v>1404281886</v>
      </c>
      <c r="F10302">
        <v>2441.84</v>
      </c>
    </row>
    <row r="10303" spans="1:6" x14ac:dyDescent="0.25">
      <c r="A10303" t="s">
        <v>701</v>
      </c>
      <c r="B10303" t="s">
        <v>78</v>
      </c>
      <c r="C10303" s="5" t="str">
        <f t="shared" si="445"/>
        <v xml:space="preserve"> кв. 74</v>
      </c>
      <c r="D10303" s="5" t="str">
        <f>CONCATENATE(A10303,C10303)</f>
        <v>Смольная ул., дом 51 к.2 кв. 74</v>
      </c>
      <c r="E10303" s="3">
        <f>HYPERLINK("https://sao.dolgi.msk.ru/account/1404279428/", 1404279428)</f>
        <v>1404279428</v>
      </c>
      <c r="F10303">
        <v>2407.04</v>
      </c>
    </row>
    <row r="10304" spans="1:6" hidden="1" x14ac:dyDescent="0.25">
      <c r="A10304" t="s">
        <v>701</v>
      </c>
      <c r="B10304" t="s">
        <v>79</v>
      </c>
      <c r="E10304" s="3">
        <f>HYPERLINK("https://sao.dolgi.msk.ru/account/1404281309/", 1404281309)</f>
        <v>1404281309</v>
      </c>
      <c r="F10304">
        <v>-1506.39</v>
      </c>
    </row>
    <row r="10305" spans="1:6" hidden="1" x14ac:dyDescent="0.25">
      <c r="A10305" t="s">
        <v>701</v>
      </c>
      <c r="B10305" t="s">
        <v>80</v>
      </c>
      <c r="E10305" s="3">
        <f>HYPERLINK("https://sao.dolgi.msk.ru/account/1404279663/", 1404279663)</f>
        <v>1404279663</v>
      </c>
      <c r="F10305">
        <v>-371.32</v>
      </c>
    </row>
    <row r="10306" spans="1:6" hidden="1" x14ac:dyDescent="0.25">
      <c r="A10306" t="s">
        <v>701</v>
      </c>
      <c r="B10306" t="s">
        <v>81</v>
      </c>
      <c r="E10306" s="3">
        <f>HYPERLINK("https://sao.dolgi.msk.ru/account/1404279591/", 1404279591)</f>
        <v>1404279591</v>
      </c>
      <c r="F10306">
        <v>-2463.1799999999998</v>
      </c>
    </row>
    <row r="10307" spans="1:6" hidden="1" x14ac:dyDescent="0.25">
      <c r="A10307" t="s">
        <v>701</v>
      </c>
      <c r="B10307" t="s">
        <v>82</v>
      </c>
      <c r="E10307" s="3">
        <f>HYPERLINK("https://sao.dolgi.msk.ru/account/1404279807/", 1404279807)</f>
        <v>1404279807</v>
      </c>
      <c r="F10307">
        <v>0</v>
      </c>
    </row>
    <row r="10308" spans="1:6" hidden="1" x14ac:dyDescent="0.25">
      <c r="A10308" t="s">
        <v>701</v>
      </c>
      <c r="B10308" t="s">
        <v>82</v>
      </c>
      <c r="E10308" s="3">
        <f>HYPERLINK("https://sao.dolgi.msk.ru/account/1404280883/", 1404280883)</f>
        <v>1404280883</v>
      </c>
      <c r="F10308">
        <v>0</v>
      </c>
    </row>
    <row r="10309" spans="1:6" hidden="1" x14ac:dyDescent="0.25">
      <c r="A10309" t="s">
        <v>701</v>
      </c>
      <c r="B10309" t="s">
        <v>83</v>
      </c>
      <c r="E10309" s="3">
        <f>HYPERLINK("https://sao.dolgi.msk.ru/account/1404279815/", 1404279815)</f>
        <v>1404279815</v>
      </c>
      <c r="F10309">
        <v>-1751.76</v>
      </c>
    </row>
    <row r="10310" spans="1:6" x14ac:dyDescent="0.25">
      <c r="A10310" t="s">
        <v>701</v>
      </c>
      <c r="B10310" t="s">
        <v>84</v>
      </c>
      <c r="C10310" s="5" t="str">
        <f>" кв. "&amp;B10310</f>
        <v xml:space="preserve"> кв. 80</v>
      </c>
      <c r="D10310" s="5" t="str">
        <f>CONCATENATE(A10310,C10310)</f>
        <v>Смольная ул., дом 51 к.2 кв. 80</v>
      </c>
      <c r="E10310" s="3">
        <f>HYPERLINK("https://sao.dolgi.msk.ru/account/1404280461/", 1404280461)</f>
        <v>1404280461</v>
      </c>
      <c r="F10310">
        <v>1606.8</v>
      </c>
    </row>
    <row r="10311" spans="1:6" hidden="1" x14ac:dyDescent="0.25">
      <c r="A10311" t="s">
        <v>701</v>
      </c>
      <c r="B10311" t="s">
        <v>85</v>
      </c>
      <c r="E10311" s="3">
        <f>HYPERLINK("https://sao.dolgi.msk.ru/account/1404280429/", 1404280429)</f>
        <v>1404280429</v>
      </c>
      <c r="F10311">
        <v>-1932.03</v>
      </c>
    </row>
    <row r="10312" spans="1:6" x14ac:dyDescent="0.25">
      <c r="A10312" t="s">
        <v>701</v>
      </c>
      <c r="B10312" t="s">
        <v>86</v>
      </c>
      <c r="C10312" s="5" t="str">
        <f>" кв. "&amp;B10312</f>
        <v xml:space="preserve"> кв. 82</v>
      </c>
      <c r="D10312" s="5" t="str">
        <f>CONCATENATE(A10312,C10312)</f>
        <v>Смольная ул., дом 51 к.2 кв. 82</v>
      </c>
      <c r="E10312" s="3">
        <f>HYPERLINK("https://sao.dolgi.msk.ru/account/1404281296/", 1404281296)</f>
        <v>1404281296</v>
      </c>
      <c r="F10312">
        <v>2407.04</v>
      </c>
    </row>
    <row r="10313" spans="1:6" hidden="1" x14ac:dyDescent="0.25">
      <c r="A10313" t="s">
        <v>701</v>
      </c>
      <c r="B10313" t="s">
        <v>87</v>
      </c>
      <c r="E10313" s="3">
        <f>HYPERLINK("https://sao.dolgi.msk.ru/account/1404282563/", 1404282563)</f>
        <v>1404282563</v>
      </c>
      <c r="F10313">
        <v>0</v>
      </c>
    </row>
    <row r="10314" spans="1:6" hidden="1" x14ac:dyDescent="0.25">
      <c r="A10314" t="s">
        <v>701</v>
      </c>
      <c r="B10314" t="s">
        <v>88</v>
      </c>
      <c r="E10314" s="3">
        <f>HYPERLINK("https://sao.dolgi.msk.ru/account/1404280031/", 1404280031)</f>
        <v>1404280031</v>
      </c>
      <c r="F10314">
        <v>-2352.63</v>
      </c>
    </row>
    <row r="10315" spans="1:6" hidden="1" x14ac:dyDescent="0.25">
      <c r="A10315" t="s">
        <v>701</v>
      </c>
      <c r="B10315" t="s">
        <v>89</v>
      </c>
      <c r="E10315" s="3">
        <f>HYPERLINK("https://sao.dolgi.msk.ru/account/1404281878/", 1404281878)</f>
        <v>1404281878</v>
      </c>
      <c r="F10315">
        <v>0</v>
      </c>
    </row>
    <row r="10316" spans="1:6" x14ac:dyDescent="0.25">
      <c r="A10316" t="s">
        <v>701</v>
      </c>
      <c r="B10316" t="s">
        <v>90</v>
      </c>
      <c r="C10316" s="5" t="str">
        <f>" кв. "&amp;B10316</f>
        <v xml:space="preserve"> кв. 86</v>
      </c>
      <c r="D10316" s="5" t="str">
        <f>CONCATENATE(A10316,C10316)</f>
        <v>Смольная ул., дом 51 к.2 кв. 86</v>
      </c>
      <c r="E10316" s="3">
        <f>HYPERLINK("https://sao.dolgi.msk.ru/account/1404282598/", 1404282598)</f>
        <v>1404282598</v>
      </c>
      <c r="F10316">
        <v>2407.04</v>
      </c>
    </row>
    <row r="10317" spans="1:6" hidden="1" x14ac:dyDescent="0.25">
      <c r="A10317" t="s">
        <v>701</v>
      </c>
      <c r="B10317" t="s">
        <v>91</v>
      </c>
      <c r="E10317" s="3">
        <f>HYPERLINK("https://sao.dolgi.msk.ru/account/1404279735/", 1404279735)</f>
        <v>1404279735</v>
      </c>
      <c r="F10317">
        <v>-1737.89</v>
      </c>
    </row>
    <row r="10318" spans="1:6" hidden="1" x14ac:dyDescent="0.25">
      <c r="A10318" t="s">
        <v>701</v>
      </c>
      <c r="B10318" t="s">
        <v>92</v>
      </c>
      <c r="E10318" s="3">
        <f>HYPERLINK("https://sao.dolgi.msk.ru/account/1404281528/", 1404281528)</f>
        <v>1404281528</v>
      </c>
      <c r="F10318">
        <v>-1585.36</v>
      </c>
    </row>
    <row r="10319" spans="1:6" hidden="1" x14ac:dyDescent="0.25">
      <c r="A10319" t="s">
        <v>701</v>
      </c>
      <c r="B10319" t="s">
        <v>93</v>
      </c>
      <c r="E10319" s="3">
        <f>HYPERLINK("https://sao.dolgi.msk.ru/account/1404279778/", 1404279778)</f>
        <v>1404279778</v>
      </c>
      <c r="F10319">
        <v>-2694.67</v>
      </c>
    </row>
    <row r="10320" spans="1:6" x14ac:dyDescent="0.25">
      <c r="A10320" t="s">
        <v>701</v>
      </c>
      <c r="B10320" t="s">
        <v>94</v>
      </c>
      <c r="C10320" s="5" t="str">
        <f>" кв. "&amp;B10320</f>
        <v xml:space="preserve"> кв. 90</v>
      </c>
      <c r="D10320" s="5" t="str">
        <f>CONCATENATE(A10320,C10320)</f>
        <v>Смольная ул., дом 51 к.2 кв. 90</v>
      </c>
      <c r="E10320" s="3">
        <f>HYPERLINK("https://sao.dolgi.msk.ru/account/1404281958/", 1404281958)</f>
        <v>1404281958</v>
      </c>
      <c r="F10320">
        <v>2407.04</v>
      </c>
    </row>
    <row r="10321" spans="1:6" hidden="1" x14ac:dyDescent="0.25">
      <c r="A10321" t="s">
        <v>701</v>
      </c>
      <c r="B10321" t="s">
        <v>95</v>
      </c>
      <c r="E10321" s="3">
        <f>HYPERLINK("https://sao.dolgi.msk.ru/account/1404280189/", 1404280189)</f>
        <v>1404280189</v>
      </c>
      <c r="F10321">
        <v>0</v>
      </c>
    </row>
    <row r="10322" spans="1:6" hidden="1" x14ac:dyDescent="0.25">
      <c r="A10322" t="s">
        <v>701</v>
      </c>
      <c r="B10322" t="s">
        <v>96</v>
      </c>
      <c r="E10322" s="3">
        <f>HYPERLINK("https://sao.dolgi.msk.ru/account/1404282336/", 1404282336)</f>
        <v>1404282336</v>
      </c>
      <c r="F10322">
        <v>-2035.86</v>
      </c>
    </row>
    <row r="10323" spans="1:6" hidden="1" x14ac:dyDescent="0.25">
      <c r="A10323" t="s">
        <v>701</v>
      </c>
      <c r="B10323" t="s">
        <v>97</v>
      </c>
      <c r="E10323" s="3">
        <f>HYPERLINK("https://sao.dolgi.msk.ru/account/1404280162/", 1404280162)</f>
        <v>1404280162</v>
      </c>
      <c r="F10323">
        <v>-2685.42</v>
      </c>
    </row>
    <row r="10324" spans="1:6" hidden="1" x14ac:dyDescent="0.25">
      <c r="A10324" t="s">
        <v>701</v>
      </c>
      <c r="B10324" t="s">
        <v>98</v>
      </c>
      <c r="E10324" s="3">
        <f>HYPERLINK("https://sao.dolgi.msk.ru/account/1404282096/", 1404282096)</f>
        <v>1404282096</v>
      </c>
      <c r="F10324">
        <v>-1110.3399999999999</v>
      </c>
    </row>
    <row r="10325" spans="1:6" hidden="1" x14ac:dyDescent="0.25">
      <c r="A10325" t="s">
        <v>701</v>
      </c>
      <c r="B10325" t="s">
        <v>99</v>
      </c>
      <c r="E10325" s="3">
        <f>HYPERLINK("https://sao.dolgi.msk.ru/account/1404281915/", 1404281915)</f>
        <v>1404281915</v>
      </c>
      <c r="F10325">
        <v>-1751.76</v>
      </c>
    </row>
    <row r="10326" spans="1:6" hidden="1" x14ac:dyDescent="0.25">
      <c r="A10326" t="s">
        <v>701</v>
      </c>
      <c r="B10326" t="s">
        <v>100</v>
      </c>
      <c r="E10326" s="3">
        <f>HYPERLINK("https://sao.dolgi.msk.ru/account/1404282344/", 1404282344)</f>
        <v>1404282344</v>
      </c>
      <c r="F10326">
        <v>-2361.87</v>
      </c>
    </row>
    <row r="10327" spans="1:6" hidden="1" x14ac:dyDescent="0.25">
      <c r="A10327" t="s">
        <v>701</v>
      </c>
      <c r="B10327" t="s">
        <v>101</v>
      </c>
      <c r="E10327" s="3">
        <f>HYPERLINK("https://sao.dolgi.msk.ru/account/1404281448/", 1404281448)</f>
        <v>1404281448</v>
      </c>
      <c r="F10327">
        <v>-1780.45</v>
      </c>
    </row>
    <row r="10328" spans="1:6" x14ac:dyDescent="0.25">
      <c r="A10328" t="s">
        <v>701</v>
      </c>
      <c r="B10328" t="s">
        <v>102</v>
      </c>
      <c r="C10328" s="5" t="str">
        <f>" кв. "&amp;B10328</f>
        <v xml:space="preserve"> кв. 98</v>
      </c>
      <c r="D10328" s="5" t="str">
        <f>CONCATENATE(A10328,C10328)</f>
        <v>Смольная ул., дом 51 к.2 кв. 98</v>
      </c>
      <c r="E10328" s="3">
        <f>HYPERLINK("https://sao.dolgi.msk.ru/account/1404281245/", 1404281245)</f>
        <v>1404281245</v>
      </c>
      <c r="F10328">
        <v>2400.7199999999998</v>
      </c>
    </row>
    <row r="10329" spans="1:6" hidden="1" x14ac:dyDescent="0.25">
      <c r="A10329" t="s">
        <v>701</v>
      </c>
      <c r="B10329" t="s">
        <v>103</v>
      </c>
      <c r="E10329" s="3">
        <f>HYPERLINK("https://sao.dolgi.msk.ru/account/1404281763/", 1404281763)</f>
        <v>1404281763</v>
      </c>
      <c r="F10329">
        <v>-1742.51</v>
      </c>
    </row>
    <row r="10330" spans="1:6" hidden="1" x14ac:dyDescent="0.25">
      <c r="A10330" t="s">
        <v>701</v>
      </c>
      <c r="B10330" t="s">
        <v>104</v>
      </c>
      <c r="E10330" s="3">
        <f>HYPERLINK("https://sao.dolgi.msk.ru/account/1404281376/", 1404281376)</f>
        <v>1404281376</v>
      </c>
      <c r="F10330">
        <v>-2361.87</v>
      </c>
    </row>
    <row r="10331" spans="1:6" hidden="1" x14ac:dyDescent="0.25">
      <c r="A10331" t="s">
        <v>701</v>
      </c>
      <c r="B10331" t="s">
        <v>105</v>
      </c>
      <c r="E10331" s="3">
        <f>HYPERLINK("https://sao.dolgi.msk.ru/account/1404280648/", 1404280648)</f>
        <v>1404280648</v>
      </c>
      <c r="F10331">
        <v>-849.18</v>
      </c>
    </row>
    <row r="10332" spans="1:6" x14ac:dyDescent="0.25">
      <c r="A10332" t="s">
        <v>701</v>
      </c>
      <c r="B10332" t="s">
        <v>106</v>
      </c>
      <c r="C10332" s="5" t="str">
        <f>" кв. "&amp;B10332</f>
        <v xml:space="preserve"> кв. 102</v>
      </c>
      <c r="D10332" s="5" t="str">
        <f>CONCATENATE(A10332,C10332)</f>
        <v>Смольная ул., дом 51 к.2 кв. 102</v>
      </c>
      <c r="E10332" s="3">
        <f>HYPERLINK("https://sao.dolgi.msk.ru/account/1404280613/", 1404280613)</f>
        <v>1404280613</v>
      </c>
      <c r="F10332">
        <v>2400.7199999999998</v>
      </c>
    </row>
    <row r="10333" spans="1:6" hidden="1" x14ac:dyDescent="0.25">
      <c r="A10333" t="s">
        <v>701</v>
      </c>
      <c r="B10333" t="s">
        <v>107</v>
      </c>
      <c r="E10333" s="3">
        <f>HYPERLINK("https://sao.dolgi.msk.ru/account/1404280656/", 1404280656)</f>
        <v>1404280656</v>
      </c>
      <c r="F10333">
        <v>-1751.76</v>
      </c>
    </row>
    <row r="10334" spans="1:6" hidden="1" x14ac:dyDescent="0.25">
      <c r="A10334" t="s">
        <v>701</v>
      </c>
      <c r="B10334" t="s">
        <v>108</v>
      </c>
      <c r="E10334" s="3">
        <f>HYPERLINK("https://sao.dolgi.msk.ru/account/1404281229/", 1404281229)</f>
        <v>1404281229</v>
      </c>
      <c r="F10334">
        <v>-2361.87</v>
      </c>
    </row>
    <row r="10335" spans="1:6" x14ac:dyDescent="0.25">
      <c r="A10335" t="s">
        <v>701</v>
      </c>
      <c r="B10335" t="s">
        <v>109</v>
      </c>
      <c r="C10335" s="5" t="str">
        <f>" кв. "&amp;B10335</f>
        <v xml:space="preserve"> кв. 105</v>
      </c>
      <c r="D10335" s="5" t="str">
        <f>CONCATENATE(A10335,C10335)</f>
        <v>Смольная ул., дом 51 к.2 кв. 105</v>
      </c>
      <c r="E10335" s="3">
        <f>HYPERLINK("https://sao.dolgi.msk.ru/account/1404280744/", 1404280744)</f>
        <v>1404280744</v>
      </c>
      <c r="F10335">
        <v>1840.87</v>
      </c>
    </row>
    <row r="10336" spans="1:6" hidden="1" x14ac:dyDescent="0.25">
      <c r="A10336" t="s">
        <v>701</v>
      </c>
      <c r="B10336" t="s">
        <v>110</v>
      </c>
      <c r="E10336" s="3">
        <f>HYPERLINK("https://sao.dolgi.msk.ru/account/1404280584/", 1404280584)</f>
        <v>1404280584</v>
      </c>
      <c r="F10336">
        <v>0</v>
      </c>
    </row>
    <row r="10337" spans="1:6" hidden="1" x14ac:dyDescent="0.25">
      <c r="A10337" t="s">
        <v>701</v>
      </c>
      <c r="B10337" t="s">
        <v>111</v>
      </c>
      <c r="E10337" s="3">
        <f>HYPERLINK("https://sao.dolgi.msk.ru/account/1404281122/", 1404281122)</f>
        <v>1404281122</v>
      </c>
      <c r="F10337">
        <v>-1751.76</v>
      </c>
    </row>
    <row r="10338" spans="1:6" x14ac:dyDescent="0.25">
      <c r="A10338" t="s">
        <v>701</v>
      </c>
      <c r="B10338" t="s">
        <v>112</v>
      </c>
      <c r="C10338" s="5" t="str">
        <f>" кв. "&amp;B10338</f>
        <v xml:space="preserve"> кв. 108</v>
      </c>
      <c r="D10338" s="5" t="str">
        <f>CONCATENATE(A10338,C10338)</f>
        <v>Смольная ул., дом 51 к.2 кв. 108</v>
      </c>
      <c r="E10338" s="3">
        <f>HYPERLINK("https://sao.dolgi.msk.ru/account/1404280795/", 1404280795)</f>
        <v>1404280795</v>
      </c>
      <c r="F10338">
        <v>1616.29</v>
      </c>
    </row>
    <row r="10339" spans="1:6" hidden="1" x14ac:dyDescent="0.25">
      <c r="A10339" t="s">
        <v>701</v>
      </c>
      <c r="B10339" t="s">
        <v>113</v>
      </c>
      <c r="E10339" s="3">
        <f>HYPERLINK("https://sao.dolgi.msk.ru/account/1404279874/", 1404279874)</f>
        <v>1404279874</v>
      </c>
      <c r="F10339">
        <v>-2694.67</v>
      </c>
    </row>
    <row r="10340" spans="1:6" hidden="1" x14ac:dyDescent="0.25">
      <c r="A10340" t="s">
        <v>701</v>
      </c>
      <c r="B10340" t="s">
        <v>114</v>
      </c>
      <c r="E10340" s="3">
        <f>HYPERLINK("https://sao.dolgi.msk.ru/account/1404281974/", 1404281974)</f>
        <v>1404281974</v>
      </c>
      <c r="F10340">
        <v>-3508.16</v>
      </c>
    </row>
    <row r="10341" spans="1:6" hidden="1" x14ac:dyDescent="0.25">
      <c r="A10341" t="s">
        <v>701</v>
      </c>
      <c r="B10341" t="s">
        <v>115</v>
      </c>
      <c r="E10341" s="3">
        <f>HYPERLINK("https://sao.dolgi.msk.ru/account/1404279858/", 1404279858)</f>
        <v>1404279858</v>
      </c>
      <c r="F10341">
        <v>-1515.64</v>
      </c>
    </row>
    <row r="10342" spans="1:6" hidden="1" x14ac:dyDescent="0.25">
      <c r="A10342" t="s">
        <v>701</v>
      </c>
      <c r="B10342" t="s">
        <v>116</v>
      </c>
      <c r="E10342" s="3">
        <f>HYPERLINK("https://sao.dolgi.msk.ru/account/1404280875/", 1404280875)</f>
        <v>1404280875</v>
      </c>
      <c r="F10342">
        <v>-1774.88</v>
      </c>
    </row>
    <row r="10343" spans="1:6" hidden="1" x14ac:dyDescent="0.25">
      <c r="A10343" t="s">
        <v>701</v>
      </c>
      <c r="B10343" t="s">
        <v>117</v>
      </c>
      <c r="E10343" s="3">
        <f>HYPERLINK("https://sao.dolgi.msk.ru/account/1404280605/", 1404280605)</f>
        <v>1404280605</v>
      </c>
      <c r="F10343">
        <v>-2269.35</v>
      </c>
    </row>
    <row r="10344" spans="1:6" hidden="1" x14ac:dyDescent="0.25">
      <c r="A10344" t="s">
        <v>701</v>
      </c>
      <c r="B10344" t="s">
        <v>118</v>
      </c>
      <c r="E10344" s="3">
        <f>HYPERLINK("https://sao.dolgi.msk.ru/account/1404280904/", 1404280904)</f>
        <v>1404280904</v>
      </c>
      <c r="F10344">
        <v>-3526.63</v>
      </c>
    </row>
    <row r="10345" spans="1:6" x14ac:dyDescent="0.25">
      <c r="A10345" t="s">
        <v>701</v>
      </c>
      <c r="B10345" t="s">
        <v>119</v>
      </c>
      <c r="C10345" s="5" t="str">
        <f>" кв. "&amp;B10345</f>
        <v xml:space="preserve"> кв. 115</v>
      </c>
      <c r="D10345" s="5" t="str">
        <f>CONCATENATE(A10345,C10345)</f>
        <v>Смольная ул., дом 51 к.2 кв. 115</v>
      </c>
      <c r="E10345" s="3">
        <f>HYPERLINK("https://sao.dolgi.msk.ru/account/1404280154/", 1404280154)</f>
        <v>1404280154</v>
      </c>
      <c r="F10345">
        <v>1201.94</v>
      </c>
    </row>
    <row r="10346" spans="1:6" hidden="1" x14ac:dyDescent="0.25">
      <c r="A10346" t="s">
        <v>701</v>
      </c>
      <c r="B10346" t="s">
        <v>120</v>
      </c>
      <c r="E10346" s="3">
        <f>HYPERLINK("https://sao.dolgi.msk.ru/account/1404279786/", 1404279786)</f>
        <v>1404279786</v>
      </c>
      <c r="F10346">
        <v>-2361.87</v>
      </c>
    </row>
    <row r="10347" spans="1:6" hidden="1" x14ac:dyDescent="0.25">
      <c r="A10347" t="s">
        <v>701</v>
      </c>
      <c r="B10347" t="s">
        <v>121</v>
      </c>
      <c r="E10347" s="3">
        <f>HYPERLINK("https://sao.dolgi.msk.ru/account/1404281237/", 1404281237)</f>
        <v>1404281237</v>
      </c>
      <c r="F10347">
        <v>-1338.09</v>
      </c>
    </row>
    <row r="10348" spans="1:6" hidden="1" x14ac:dyDescent="0.25">
      <c r="A10348" t="s">
        <v>701</v>
      </c>
      <c r="B10348" t="s">
        <v>121</v>
      </c>
      <c r="E10348" s="3">
        <f>HYPERLINK("https://sao.dolgi.msk.ru/account/1404281704/", 1404281704)</f>
        <v>1404281704</v>
      </c>
      <c r="F10348">
        <v>-1338.09</v>
      </c>
    </row>
    <row r="10349" spans="1:6" hidden="1" x14ac:dyDescent="0.25">
      <c r="A10349" t="s">
        <v>701</v>
      </c>
      <c r="B10349" t="s">
        <v>122</v>
      </c>
      <c r="E10349" s="3">
        <f>HYPERLINK("https://sao.dolgi.msk.ru/account/1404280939/", 1404280939)</f>
        <v>1404280939</v>
      </c>
      <c r="F10349">
        <v>0</v>
      </c>
    </row>
    <row r="10350" spans="1:6" x14ac:dyDescent="0.25">
      <c r="A10350" t="s">
        <v>701</v>
      </c>
      <c r="B10350" t="s">
        <v>123</v>
      </c>
      <c r="C10350" s="5" t="str">
        <f>" кв. "&amp;B10350</f>
        <v xml:space="preserve"> кв. 119</v>
      </c>
      <c r="D10350" s="5" t="str">
        <f>CONCATENATE(A10350,C10350)</f>
        <v>Смольная ул., дом 51 к.2 кв. 119</v>
      </c>
      <c r="E10350" s="3">
        <f>HYPERLINK("https://sao.dolgi.msk.ru/account/1404280592/", 1404280592)</f>
        <v>1404280592</v>
      </c>
      <c r="F10350">
        <v>599.39</v>
      </c>
    </row>
    <row r="10351" spans="1:6" hidden="1" x14ac:dyDescent="0.25">
      <c r="A10351" t="s">
        <v>701</v>
      </c>
      <c r="B10351" t="s">
        <v>124</v>
      </c>
      <c r="E10351" s="3">
        <f>HYPERLINK("https://sao.dolgi.msk.ru/account/1404282328/", 1404282328)</f>
        <v>1404282328</v>
      </c>
      <c r="F10351">
        <v>-2352.63</v>
      </c>
    </row>
    <row r="10352" spans="1:6" hidden="1" x14ac:dyDescent="0.25">
      <c r="A10352" t="s">
        <v>701</v>
      </c>
      <c r="B10352" t="s">
        <v>125</v>
      </c>
      <c r="E10352" s="3">
        <f>HYPERLINK("https://sao.dolgi.msk.ru/account/1404282221/", 1404282221)</f>
        <v>1404282221</v>
      </c>
      <c r="F10352">
        <v>0</v>
      </c>
    </row>
    <row r="10353" spans="1:6" hidden="1" x14ac:dyDescent="0.25">
      <c r="A10353" t="s">
        <v>701</v>
      </c>
      <c r="B10353" t="s">
        <v>126</v>
      </c>
      <c r="E10353" s="3">
        <f>HYPERLINK("https://sao.dolgi.msk.ru/account/1404281165/", 1404281165)</f>
        <v>1404281165</v>
      </c>
      <c r="F10353">
        <v>-3526.63</v>
      </c>
    </row>
    <row r="10354" spans="1:6" hidden="1" x14ac:dyDescent="0.25">
      <c r="A10354" t="s">
        <v>701</v>
      </c>
      <c r="B10354" t="s">
        <v>127</v>
      </c>
      <c r="E10354" s="3">
        <f>HYPERLINK("https://sao.dolgi.msk.ru/account/1404281464/", 1404281464)</f>
        <v>1404281464</v>
      </c>
      <c r="F10354">
        <v>-1747.13</v>
      </c>
    </row>
    <row r="10355" spans="1:6" hidden="1" x14ac:dyDescent="0.25">
      <c r="A10355" t="s">
        <v>701</v>
      </c>
      <c r="B10355" t="s">
        <v>128</v>
      </c>
      <c r="E10355" s="3">
        <f>HYPERLINK("https://sao.dolgi.msk.ru/account/1404282424/", 1404282424)</f>
        <v>1404282424</v>
      </c>
      <c r="F10355">
        <v>-2352.63</v>
      </c>
    </row>
    <row r="10356" spans="1:6" x14ac:dyDescent="0.25">
      <c r="A10356" t="s">
        <v>701</v>
      </c>
      <c r="B10356" t="s">
        <v>129</v>
      </c>
      <c r="C10356" s="5" t="str">
        <f>" кв. "&amp;B10356</f>
        <v xml:space="preserve"> кв. 125</v>
      </c>
      <c r="D10356" s="5" t="str">
        <f>CONCATENATE(A10356,C10356)</f>
        <v>Смольная ул., дом 51 к.2 кв. 125</v>
      </c>
      <c r="E10356" s="3">
        <f>HYPERLINK("https://sao.dolgi.msk.ru/account/1404282379/", 1404282379)</f>
        <v>1404282379</v>
      </c>
      <c r="F10356">
        <v>1834.54</v>
      </c>
    </row>
    <row r="10357" spans="1:6" hidden="1" x14ac:dyDescent="0.25">
      <c r="A10357" t="s">
        <v>701</v>
      </c>
      <c r="B10357" t="s">
        <v>130</v>
      </c>
      <c r="E10357" s="3">
        <f>HYPERLINK("https://sao.dolgi.msk.ru/account/1404281018/", 1404281018)</f>
        <v>1404281018</v>
      </c>
      <c r="F10357">
        <v>0</v>
      </c>
    </row>
    <row r="10358" spans="1:6" x14ac:dyDescent="0.25">
      <c r="A10358" t="s">
        <v>701</v>
      </c>
      <c r="B10358" t="s">
        <v>131</v>
      </c>
      <c r="C10358" s="5" t="str">
        <f>" кв. "&amp;B10358</f>
        <v xml:space="preserve"> кв. 127</v>
      </c>
      <c r="D10358" s="5" t="str">
        <f>CONCATENATE(A10358,C10358)</f>
        <v>Смольная ул., дом 51 к.2 кв. 127</v>
      </c>
      <c r="E10358" s="3">
        <f>HYPERLINK("https://sao.dolgi.msk.ru/account/1404280365/", 1404280365)</f>
        <v>1404280365</v>
      </c>
      <c r="F10358">
        <v>1201.94</v>
      </c>
    </row>
    <row r="10359" spans="1:6" hidden="1" x14ac:dyDescent="0.25">
      <c r="A10359" t="s">
        <v>701</v>
      </c>
      <c r="B10359" t="s">
        <v>132</v>
      </c>
      <c r="E10359" s="3">
        <f>HYPERLINK("https://sao.dolgi.msk.ru/account/1404282571/", 1404282571)</f>
        <v>1404282571</v>
      </c>
      <c r="F10359">
        <v>-2352.63</v>
      </c>
    </row>
    <row r="10360" spans="1:6" hidden="1" x14ac:dyDescent="0.25">
      <c r="A10360" t="s">
        <v>701</v>
      </c>
      <c r="B10360" t="s">
        <v>133</v>
      </c>
      <c r="E10360" s="3">
        <f>HYPERLINK("https://sao.dolgi.msk.ru/account/1404280824/", 1404280824)</f>
        <v>1404280824</v>
      </c>
      <c r="F10360">
        <v>-846.26</v>
      </c>
    </row>
    <row r="10361" spans="1:6" hidden="1" x14ac:dyDescent="0.25">
      <c r="A10361" t="s">
        <v>701</v>
      </c>
      <c r="B10361" t="s">
        <v>134</v>
      </c>
      <c r="E10361" s="3">
        <f>HYPERLINK("https://sao.dolgi.msk.ru/account/1404280891/", 1404280891)</f>
        <v>1404280891</v>
      </c>
      <c r="F10361">
        <v>-2946.21</v>
      </c>
    </row>
    <row r="10362" spans="1:6" hidden="1" x14ac:dyDescent="0.25">
      <c r="A10362" t="s">
        <v>701</v>
      </c>
      <c r="B10362" t="s">
        <v>135</v>
      </c>
      <c r="E10362" s="3">
        <f>HYPERLINK("https://sao.dolgi.msk.ru/account/1404282352/", 1404282352)</f>
        <v>1404282352</v>
      </c>
      <c r="F10362">
        <v>0</v>
      </c>
    </row>
    <row r="10363" spans="1:6" hidden="1" x14ac:dyDescent="0.25">
      <c r="A10363" t="s">
        <v>701</v>
      </c>
      <c r="B10363" t="s">
        <v>136</v>
      </c>
      <c r="E10363" s="3">
        <f>HYPERLINK("https://sao.dolgi.msk.ru/account/1404280349/", 1404280349)</f>
        <v>1404280349</v>
      </c>
      <c r="F10363">
        <v>-2609.25</v>
      </c>
    </row>
    <row r="10364" spans="1:6" hidden="1" x14ac:dyDescent="0.25">
      <c r="A10364" t="s">
        <v>701</v>
      </c>
      <c r="B10364" t="s">
        <v>137</v>
      </c>
      <c r="E10364" s="3">
        <f>HYPERLINK("https://sao.dolgi.msk.ru/account/1404281421/", 1404281421)</f>
        <v>1404281421</v>
      </c>
      <c r="F10364">
        <v>-3415.72</v>
      </c>
    </row>
    <row r="10365" spans="1:6" hidden="1" x14ac:dyDescent="0.25">
      <c r="A10365" t="s">
        <v>701</v>
      </c>
      <c r="B10365" t="s">
        <v>138</v>
      </c>
      <c r="E10365" s="3">
        <f>HYPERLINK("https://sao.dolgi.msk.ru/account/1404280509/", 1404280509)</f>
        <v>1404280509</v>
      </c>
      <c r="F10365">
        <v>-2905.69</v>
      </c>
    </row>
    <row r="10366" spans="1:6" hidden="1" x14ac:dyDescent="0.25">
      <c r="A10366" t="s">
        <v>701</v>
      </c>
      <c r="B10366" t="s">
        <v>139</v>
      </c>
      <c r="E10366" s="3">
        <f>HYPERLINK("https://sao.dolgi.msk.ru/account/1404279866/", 1404279866)</f>
        <v>1404279866</v>
      </c>
      <c r="F10366">
        <v>-2902.66</v>
      </c>
    </row>
    <row r="10367" spans="1:6" x14ac:dyDescent="0.25">
      <c r="A10367" t="s">
        <v>701</v>
      </c>
      <c r="B10367" t="s">
        <v>140</v>
      </c>
      <c r="C10367" s="5" t="str">
        <f>" кв. "&amp;B10367</f>
        <v xml:space="preserve"> кв. 136</v>
      </c>
      <c r="D10367" s="5" t="str">
        <f>CONCATENATE(A10367,C10367)</f>
        <v>Смольная ул., дом 51 к.2 кв. 136</v>
      </c>
      <c r="E10367" s="3">
        <f>HYPERLINK("https://sao.dolgi.msk.ru/account/1404279823/", 1404279823)</f>
        <v>1404279823</v>
      </c>
      <c r="F10367">
        <v>2340.62</v>
      </c>
    </row>
    <row r="10368" spans="1:6" hidden="1" x14ac:dyDescent="0.25">
      <c r="A10368" t="s">
        <v>701</v>
      </c>
      <c r="B10368" t="s">
        <v>141</v>
      </c>
      <c r="E10368" s="3">
        <f>HYPERLINK("https://sao.dolgi.msk.ru/account/1404279719/", 1404279719)</f>
        <v>1404279719</v>
      </c>
      <c r="F10368">
        <v>-1624.65</v>
      </c>
    </row>
    <row r="10369" spans="1:6" hidden="1" x14ac:dyDescent="0.25">
      <c r="A10369" t="s">
        <v>701</v>
      </c>
      <c r="B10369" t="s">
        <v>141</v>
      </c>
      <c r="E10369" s="3">
        <f>HYPERLINK("https://sao.dolgi.msk.ru/account/1404279989/", 1404279989)</f>
        <v>1404279989</v>
      </c>
      <c r="F10369">
        <v>-1368.21</v>
      </c>
    </row>
    <row r="10370" spans="1:6" x14ac:dyDescent="0.25">
      <c r="A10370" t="s">
        <v>701</v>
      </c>
      <c r="B10370" t="s">
        <v>142</v>
      </c>
      <c r="C10370" s="5" t="str">
        <f>" кв. "&amp;B10370</f>
        <v xml:space="preserve"> кв. 138</v>
      </c>
      <c r="D10370" s="5" t="str">
        <f>CONCATENATE(A10370,C10370)</f>
        <v>Смольная ул., дом 51 к.2 кв. 138</v>
      </c>
      <c r="E10370" s="3">
        <f>HYPERLINK("https://sao.dolgi.msk.ru/account/1404280322/", 1404280322)</f>
        <v>1404280322</v>
      </c>
      <c r="F10370">
        <v>2501.9299999999998</v>
      </c>
    </row>
    <row r="10371" spans="1:6" hidden="1" x14ac:dyDescent="0.25">
      <c r="A10371" t="s">
        <v>701</v>
      </c>
      <c r="B10371" t="s">
        <v>143</v>
      </c>
      <c r="E10371" s="3">
        <f>HYPERLINK("https://sao.dolgi.msk.ru/account/1404281536/", 1404281536)</f>
        <v>1404281536</v>
      </c>
      <c r="F10371">
        <v>0</v>
      </c>
    </row>
    <row r="10372" spans="1:6" hidden="1" x14ac:dyDescent="0.25">
      <c r="A10372" t="s">
        <v>701</v>
      </c>
      <c r="B10372" t="s">
        <v>144</v>
      </c>
      <c r="E10372" s="3">
        <f>HYPERLINK("https://sao.dolgi.msk.ru/account/1404282168/", 1404282168)</f>
        <v>1404282168</v>
      </c>
      <c r="F10372">
        <v>-1747.13</v>
      </c>
    </row>
    <row r="10373" spans="1:6" hidden="1" x14ac:dyDescent="0.25">
      <c r="A10373" t="s">
        <v>701</v>
      </c>
      <c r="B10373" t="s">
        <v>145</v>
      </c>
      <c r="E10373" s="3">
        <f>HYPERLINK("https://sao.dolgi.msk.ru/account/1404281077/", 1404281077)</f>
        <v>1404281077</v>
      </c>
      <c r="F10373">
        <v>-1353.85</v>
      </c>
    </row>
    <row r="10374" spans="1:6" hidden="1" x14ac:dyDescent="0.25">
      <c r="A10374" t="s">
        <v>701</v>
      </c>
      <c r="B10374" t="s">
        <v>146</v>
      </c>
      <c r="E10374" s="3">
        <f>HYPERLINK("https://sao.dolgi.msk.ru/account/1404280277/", 1404280277)</f>
        <v>1404280277</v>
      </c>
      <c r="F10374">
        <v>0</v>
      </c>
    </row>
    <row r="10375" spans="1:6" x14ac:dyDescent="0.25">
      <c r="A10375" t="s">
        <v>701</v>
      </c>
      <c r="B10375" t="s">
        <v>147</v>
      </c>
      <c r="C10375" s="5" t="str">
        <f t="shared" ref="C10375:C10376" si="446">" кв. "&amp;B10375</f>
        <v xml:space="preserve"> кв. 143</v>
      </c>
      <c r="D10375" s="5" t="str">
        <f>CONCATENATE(A10375,C10375)</f>
        <v>Смольная ул., дом 51 к.2 кв. 143</v>
      </c>
      <c r="E10375" s="3">
        <f>HYPERLINK("https://sao.dolgi.msk.ru/account/1404280971/", 1404280971)</f>
        <v>1404280971</v>
      </c>
      <c r="F10375">
        <v>2343.7800000000002</v>
      </c>
    </row>
    <row r="10376" spans="1:6" x14ac:dyDescent="0.25">
      <c r="A10376" t="s">
        <v>701</v>
      </c>
      <c r="B10376" t="s">
        <v>148</v>
      </c>
      <c r="C10376" s="5" t="str">
        <f t="shared" si="446"/>
        <v xml:space="preserve"> кв. 144</v>
      </c>
      <c r="D10376" s="5" t="str">
        <f>CONCATENATE(A10376,C10376)</f>
        <v>Смольная ул., дом 51 к.2 кв. 144</v>
      </c>
      <c r="E10376" s="3">
        <f>HYPERLINK("https://sao.dolgi.msk.ru/account/1404282432/", 1404282432)</f>
        <v>1404282432</v>
      </c>
      <c r="F10376">
        <v>1192.45</v>
      </c>
    </row>
    <row r="10377" spans="1:6" hidden="1" x14ac:dyDescent="0.25">
      <c r="A10377" t="s">
        <v>701</v>
      </c>
      <c r="B10377" t="s">
        <v>149</v>
      </c>
      <c r="E10377" s="3">
        <f>HYPERLINK("https://sao.dolgi.msk.ru/account/1404279671/", 1404279671)</f>
        <v>1404279671</v>
      </c>
      <c r="F10377">
        <v>-1589.99</v>
      </c>
    </row>
    <row r="10378" spans="1:6" hidden="1" x14ac:dyDescent="0.25">
      <c r="A10378" t="s">
        <v>701</v>
      </c>
      <c r="B10378" t="s">
        <v>150</v>
      </c>
      <c r="E10378" s="3">
        <f>HYPERLINK("https://sao.dolgi.msk.ru/account/1404280664/", 1404280664)</f>
        <v>1404280664</v>
      </c>
      <c r="F10378">
        <v>-878.36</v>
      </c>
    </row>
    <row r="10379" spans="1:6" x14ac:dyDescent="0.25">
      <c r="A10379" t="s">
        <v>701</v>
      </c>
      <c r="B10379" t="s">
        <v>151</v>
      </c>
      <c r="C10379" s="5" t="str">
        <f>" кв. "&amp;B10379</f>
        <v xml:space="preserve"> кв. 147</v>
      </c>
      <c r="D10379" s="5" t="str">
        <f>CONCATENATE(A10379,C10379)</f>
        <v>Смольная ул., дом 51 к.2 кв. 147</v>
      </c>
      <c r="E10379" s="3">
        <f>HYPERLINK("https://sao.dolgi.msk.ru/account/1404281149/", 1404281149)</f>
        <v>1404281149</v>
      </c>
      <c r="F10379">
        <v>1818.72</v>
      </c>
    </row>
    <row r="10380" spans="1:6" hidden="1" x14ac:dyDescent="0.25">
      <c r="A10380" t="s">
        <v>701</v>
      </c>
      <c r="B10380" t="s">
        <v>152</v>
      </c>
      <c r="E10380" s="3">
        <f>HYPERLINK("https://sao.dolgi.msk.ru/account/1404282264/", 1404282264)</f>
        <v>1404282264</v>
      </c>
      <c r="F10380">
        <v>0</v>
      </c>
    </row>
    <row r="10381" spans="1:6" hidden="1" x14ac:dyDescent="0.25">
      <c r="A10381" t="s">
        <v>701</v>
      </c>
      <c r="B10381" t="s">
        <v>153</v>
      </c>
      <c r="E10381" s="3">
        <f>HYPERLINK("https://sao.dolgi.msk.ru/account/1404281624/", 1404281624)</f>
        <v>1404281624</v>
      </c>
      <c r="F10381">
        <v>0</v>
      </c>
    </row>
    <row r="10382" spans="1:6" x14ac:dyDescent="0.25">
      <c r="A10382" t="s">
        <v>701</v>
      </c>
      <c r="B10382" t="s">
        <v>154</v>
      </c>
      <c r="C10382" s="5" t="str">
        <f>" кв. "&amp;B10382</f>
        <v xml:space="preserve"> кв. 150</v>
      </c>
      <c r="D10382" s="5" t="str">
        <f>CONCATENATE(A10382,C10382)</f>
        <v>Смольная ул., дом 51 к.2 кв. 150</v>
      </c>
      <c r="E10382" s="3">
        <f>HYPERLINK("https://sao.dolgi.msk.ru/account/1404281894/", 1404281894)</f>
        <v>1404281894</v>
      </c>
      <c r="F10382">
        <v>1900.96</v>
      </c>
    </row>
    <row r="10383" spans="1:6" hidden="1" x14ac:dyDescent="0.25">
      <c r="A10383" t="s">
        <v>701</v>
      </c>
      <c r="B10383" t="s">
        <v>155</v>
      </c>
      <c r="E10383" s="3">
        <f>HYPERLINK("https://sao.dolgi.msk.ru/account/1404281798/", 1404281798)</f>
        <v>1404281798</v>
      </c>
      <c r="F10383">
        <v>-2082.7199999999998</v>
      </c>
    </row>
    <row r="10384" spans="1:6" x14ac:dyDescent="0.25">
      <c r="A10384" t="s">
        <v>701</v>
      </c>
      <c r="B10384" t="s">
        <v>156</v>
      </c>
      <c r="C10384" s="5" t="str">
        <f>" кв. "&amp;B10384</f>
        <v xml:space="preserve"> кв. 152</v>
      </c>
      <c r="D10384" s="5" t="str">
        <f>CONCATENATE(A10384,C10384)</f>
        <v>Смольная ул., дом 51 к.2 кв. 152</v>
      </c>
      <c r="E10384" s="3">
        <f>HYPERLINK("https://sao.dolgi.msk.ru/account/1404281026/", 1404281026)</f>
        <v>1404281026</v>
      </c>
      <c r="F10384">
        <v>1189.29</v>
      </c>
    </row>
    <row r="10385" spans="1:6" hidden="1" x14ac:dyDescent="0.25">
      <c r="A10385" t="s">
        <v>701</v>
      </c>
      <c r="B10385" t="s">
        <v>157</v>
      </c>
      <c r="E10385" s="3">
        <f>HYPERLINK("https://sao.dolgi.msk.ru/account/1404281982/", 1404281982)</f>
        <v>1404281982</v>
      </c>
      <c r="F10385">
        <v>0</v>
      </c>
    </row>
    <row r="10386" spans="1:6" hidden="1" x14ac:dyDescent="0.25">
      <c r="A10386" t="s">
        <v>701</v>
      </c>
      <c r="B10386" t="s">
        <v>158</v>
      </c>
      <c r="E10386" s="3">
        <f>HYPERLINK("https://sao.dolgi.msk.ru/account/1404279997/", 1404279997)</f>
        <v>1404279997</v>
      </c>
      <c r="F10386">
        <v>-1686.86</v>
      </c>
    </row>
    <row r="10387" spans="1:6" hidden="1" x14ac:dyDescent="0.25">
      <c r="A10387" t="s">
        <v>701</v>
      </c>
      <c r="B10387" t="s">
        <v>159</v>
      </c>
      <c r="E10387" s="3">
        <f>HYPERLINK("https://sao.dolgi.msk.ru/account/1404279399/", 1404279399)</f>
        <v>1404279399</v>
      </c>
      <c r="F10387">
        <v>-3415.72</v>
      </c>
    </row>
    <row r="10388" spans="1:6" x14ac:dyDescent="0.25">
      <c r="A10388" t="s">
        <v>701</v>
      </c>
      <c r="B10388" t="s">
        <v>160</v>
      </c>
      <c r="C10388" s="5" t="str">
        <f>" кв. "&amp;B10388</f>
        <v xml:space="preserve"> кв. 156</v>
      </c>
      <c r="D10388" s="5" t="str">
        <f>CONCATENATE(A10388,C10388)</f>
        <v>Смольная ул., дом 51 к.2 кв. 156</v>
      </c>
      <c r="E10388" s="3">
        <f>HYPERLINK("https://sao.dolgi.msk.ru/account/1404282635/", 1404282635)</f>
        <v>1404282635</v>
      </c>
      <c r="F10388">
        <v>1189.29</v>
      </c>
    </row>
    <row r="10389" spans="1:6" hidden="1" x14ac:dyDescent="0.25">
      <c r="A10389" t="s">
        <v>701</v>
      </c>
      <c r="B10389" t="s">
        <v>161</v>
      </c>
      <c r="E10389" s="3">
        <f>HYPERLINK("https://sao.dolgi.msk.ru/account/1404280314/", 1404280314)</f>
        <v>1404280314</v>
      </c>
      <c r="F10389">
        <v>-1981.29</v>
      </c>
    </row>
    <row r="10390" spans="1:6" hidden="1" x14ac:dyDescent="0.25">
      <c r="A10390" t="s">
        <v>701</v>
      </c>
      <c r="B10390" t="s">
        <v>162</v>
      </c>
      <c r="E10390" s="3">
        <f>HYPERLINK("https://sao.dolgi.msk.ru/account/1404279452/", 1404279452)</f>
        <v>1404279452</v>
      </c>
      <c r="F10390">
        <v>-2787.11</v>
      </c>
    </row>
    <row r="10391" spans="1:6" hidden="1" x14ac:dyDescent="0.25">
      <c r="A10391" t="s">
        <v>701</v>
      </c>
      <c r="B10391" t="s">
        <v>163</v>
      </c>
      <c r="E10391" s="3">
        <f>HYPERLINK("https://sao.dolgi.msk.ru/account/1404280146/", 1404280146)</f>
        <v>1404280146</v>
      </c>
      <c r="F10391">
        <v>-2835.05</v>
      </c>
    </row>
    <row r="10392" spans="1:6" hidden="1" x14ac:dyDescent="0.25">
      <c r="A10392" t="s">
        <v>701</v>
      </c>
      <c r="B10392" t="s">
        <v>164</v>
      </c>
      <c r="E10392" s="3">
        <f>HYPERLINK("https://sao.dolgi.msk.ru/account/1404282002/", 1404282002)</f>
        <v>1404282002</v>
      </c>
      <c r="F10392">
        <v>-993.74</v>
      </c>
    </row>
    <row r="10393" spans="1:6" hidden="1" x14ac:dyDescent="0.25">
      <c r="A10393" t="s">
        <v>701</v>
      </c>
      <c r="B10393" t="s">
        <v>165</v>
      </c>
      <c r="E10393" s="3">
        <f>HYPERLINK("https://sao.dolgi.msk.ru/account/1404282408/", 1404282408)</f>
        <v>1404282408</v>
      </c>
      <c r="F10393">
        <v>0</v>
      </c>
    </row>
    <row r="10394" spans="1:6" hidden="1" x14ac:dyDescent="0.25">
      <c r="A10394" t="s">
        <v>701</v>
      </c>
      <c r="B10394" t="s">
        <v>166</v>
      </c>
      <c r="E10394" s="3">
        <f>HYPERLINK("https://sao.dolgi.msk.ru/account/1404281923/", 1404281923)</f>
        <v>1404281923</v>
      </c>
      <c r="F10394">
        <v>-2787.11</v>
      </c>
    </row>
    <row r="10395" spans="1:6" hidden="1" x14ac:dyDescent="0.25">
      <c r="A10395" t="s">
        <v>701</v>
      </c>
      <c r="B10395" t="s">
        <v>167</v>
      </c>
      <c r="E10395" s="3">
        <f>HYPERLINK("https://sao.dolgi.msk.ru/account/1404281085/", 1404281085)</f>
        <v>1404281085</v>
      </c>
      <c r="F10395">
        <v>0</v>
      </c>
    </row>
    <row r="10396" spans="1:6" x14ac:dyDescent="0.25">
      <c r="A10396" t="s">
        <v>701</v>
      </c>
      <c r="B10396" t="s">
        <v>168</v>
      </c>
      <c r="C10396" s="5" t="str">
        <f>" кв. "&amp;B10396</f>
        <v xml:space="preserve"> кв. 164</v>
      </c>
      <c r="D10396" s="5" t="str">
        <f>CONCATENATE(A10396,C10396)</f>
        <v>Смольная ул., дом 51 к.2 кв. 164</v>
      </c>
      <c r="E10396" s="3">
        <f>HYPERLINK("https://sao.dolgi.msk.ru/account/1404280306/", 1404280306)</f>
        <v>1404280306</v>
      </c>
      <c r="F10396">
        <v>1198.78</v>
      </c>
    </row>
    <row r="10397" spans="1:6" hidden="1" x14ac:dyDescent="0.25">
      <c r="A10397" t="s">
        <v>701</v>
      </c>
      <c r="B10397" t="s">
        <v>169</v>
      </c>
      <c r="E10397" s="3">
        <f>HYPERLINK("https://sao.dolgi.msk.ru/account/1404279743/", 1404279743)</f>
        <v>1404279743</v>
      </c>
      <c r="F10397">
        <v>-1985.19</v>
      </c>
    </row>
    <row r="10398" spans="1:6" hidden="1" x14ac:dyDescent="0.25">
      <c r="A10398" t="s">
        <v>701</v>
      </c>
      <c r="B10398" t="s">
        <v>170</v>
      </c>
      <c r="E10398" s="3">
        <f>HYPERLINK("https://sao.dolgi.msk.ru/account/1404280963/", 1404280963)</f>
        <v>1404280963</v>
      </c>
      <c r="F10398">
        <v>-2787.11</v>
      </c>
    </row>
    <row r="10399" spans="1:6" hidden="1" x14ac:dyDescent="0.25">
      <c r="A10399" t="s">
        <v>701</v>
      </c>
      <c r="B10399" t="s">
        <v>171</v>
      </c>
      <c r="E10399" s="3">
        <f>HYPERLINK("https://sao.dolgi.msk.ru/account/1404280269/", 1404280269)</f>
        <v>1404280269</v>
      </c>
      <c r="F10399">
        <v>-2212.37</v>
      </c>
    </row>
    <row r="10400" spans="1:6" hidden="1" x14ac:dyDescent="0.25">
      <c r="A10400" t="s">
        <v>701</v>
      </c>
      <c r="B10400" t="s">
        <v>172</v>
      </c>
      <c r="E10400" s="3">
        <f>HYPERLINK("https://sao.dolgi.msk.ru/account/1404280576/", 1404280576)</f>
        <v>1404280576</v>
      </c>
      <c r="F10400">
        <v>0</v>
      </c>
    </row>
    <row r="10401" spans="1:6" x14ac:dyDescent="0.25">
      <c r="A10401" t="s">
        <v>701</v>
      </c>
      <c r="B10401" t="s">
        <v>173</v>
      </c>
      <c r="C10401" s="5" t="str">
        <f>" кв. "&amp;B10401</f>
        <v xml:space="preserve"> кв. 169</v>
      </c>
      <c r="D10401" s="5" t="str">
        <f>CONCATENATE(A10401,C10401)</f>
        <v>Смольная ул., дом 51 к.2 кв. 169</v>
      </c>
      <c r="E10401" s="3">
        <f>HYPERLINK("https://sao.dolgi.msk.ru/account/1404282395/", 1404282395)</f>
        <v>1404282395</v>
      </c>
      <c r="F10401">
        <v>1616.29</v>
      </c>
    </row>
    <row r="10402" spans="1:6" hidden="1" x14ac:dyDescent="0.25">
      <c r="A10402" t="s">
        <v>701</v>
      </c>
      <c r="B10402" t="s">
        <v>174</v>
      </c>
      <c r="E10402" s="3">
        <f>HYPERLINK("https://sao.dolgi.msk.ru/account/1404281931/", 1404281931)</f>
        <v>1404281931</v>
      </c>
      <c r="F10402">
        <v>0</v>
      </c>
    </row>
    <row r="10403" spans="1:6" x14ac:dyDescent="0.25">
      <c r="A10403" t="s">
        <v>701</v>
      </c>
      <c r="B10403" t="s">
        <v>175</v>
      </c>
      <c r="C10403" s="5" t="str">
        <f t="shared" ref="C10403:C10406" si="447">" кв. "&amp;B10403</f>
        <v xml:space="preserve"> кв. 171</v>
      </c>
      <c r="D10403" s="5" t="str">
        <f>CONCATENATE(A10403,C10403)</f>
        <v>Смольная ул., дом 51 к.2 кв. 171</v>
      </c>
      <c r="E10403" s="3">
        <f>HYPERLINK("https://sao.dolgi.msk.ru/account/1404280541/", 1404280541)</f>
        <v>1404280541</v>
      </c>
      <c r="F10403">
        <v>2343.7800000000002</v>
      </c>
    </row>
    <row r="10404" spans="1:6" x14ac:dyDescent="0.25">
      <c r="A10404" t="s">
        <v>701</v>
      </c>
      <c r="B10404" t="s">
        <v>176</v>
      </c>
      <c r="C10404" s="5" t="str">
        <f t="shared" si="447"/>
        <v xml:space="preserve"> кв. 172</v>
      </c>
      <c r="D10404" s="5" t="str">
        <f>CONCATENATE(A10404,C10404)</f>
        <v>Смольная ул., дом 51 к.2 кв. 172</v>
      </c>
      <c r="E10404" s="3">
        <f>HYPERLINK("https://sao.dolgi.msk.ru/account/1404279954/", 1404279954)</f>
        <v>1404279954</v>
      </c>
      <c r="F10404">
        <v>600.97</v>
      </c>
    </row>
    <row r="10405" spans="1:6" x14ac:dyDescent="0.25">
      <c r="A10405" t="s">
        <v>701</v>
      </c>
      <c r="B10405" t="s">
        <v>177</v>
      </c>
      <c r="C10405" s="5" t="str">
        <f t="shared" si="447"/>
        <v xml:space="preserve"> кв. 173</v>
      </c>
      <c r="D10405" s="5" t="str">
        <f>CONCATENATE(A10405,C10405)</f>
        <v>Смольная ул., дом 51 к.2 кв. 173</v>
      </c>
      <c r="E10405" s="3">
        <f>HYPERLINK("https://sao.dolgi.msk.ru/account/1404282387/", 1404282387)</f>
        <v>1404282387</v>
      </c>
      <c r="F10405">
        <v>1613.13</v>
      </c>
    </row>
    <row r="10406" spans="1:6" x14ac:dyDescent="0.25">
      <c r="A10406" t="s">
        <v>701</v>
      </c>
      <c r="B10406" t="s">
        <v>178</v>
      </c>
      <c r="C10406" s="5" t="str">
        <f t="shared" si="447"/>
        <v xml:space="preserve"> кв. 174</v>
      </c>
      <c r="D10406" s="5" t="str">
        <f>CONCATENATE(A10406,C10406)</f>
        <v>Смольная ул., дом 51 к.2 кв. 174</v>
      </c>
      <c r="E10406" s="3">
        <f>HYPERLINK("https://sao.dolgi.msk.ru/account/1404281181/", 1404281181)</f>
        <v>1404281181</v>
      </c>
      <c r="F10406">
        <v>1056.44</v>
      </c>
    </row>
    <row r="10407" spans="1:6" hidden="1" x14ac:dyDescent="0.25">
      <c r="A10407" t="s">
        <v>701</v>
      </c>
      <c r="B10407" t="s">
        <v>179</v>
      </c>
      <c r="E10407" s="3">
        <f>HYPERLINK("https://sao.dolgi.msk.ru/account/1404280517/", 1404280517)</f>
        <v>1404280517</v>
      </c>
      <c r="F10407">
        <v>0</v>
      </c>
    </row>
    <row r="10408" spans="1:6" hidden="1" x14ac:dyDescent="0.25">
      <c r="A10408" t="s">
        <v>701</v>
      </c>
      <c r="B10408" t="s">
        <v>179</v>
      </c>
      <c r="E10408" s="3">
        <f>HYPERLINK("https://sao.dolgi.msk.ru/account/1404282029/", 1404282029)</f>
        <v>1404282029</v>
      </c>
      <c r="F10408">
        <v>-428.14</v>
      </c>
    </row>
    <row r="10409" spans="1:6" hidden="1" x14ac:dyDescent="0.25">
      <c r="A10409" t="s">
        <v>701</v>
      </c>
      <c r="B10409" t="s">
        <v>180</v>
      </c>
      <c r="E10409" s="3">
        <f>HYPERLINK("https://sao.dolgi.msk.ru/account/1404280867/", 1404280867)</f>
        <v>1404280867</v>
      </c>
      <c r="F10409">
        <v>0</v>
      </c>
    </row>
    <row r="10410" spans="1:6" hidden="1" x14ac:dyDescent="0.25">
      <c r="A10410" t="s">
        <v>701</v>
      </c>
      <c r="B10410" t="s">
        <v>181</v>
      </c>
      <c r="E10410" s="3">
        <f>HYPERLINK("https://sao.dolgi.msk.ru/account/1404280947/", 1404280947)</f>
        <v>1404280947</v>
      </c>
      <c r="F10410">
        <v>-2361.87</v>
      </c>
    </row>
    <row r="10411" spans="1:6" hidden="1" x14ac:dyDescent="0.25">
      <c r="A10411" t="s">
        <v>701</v>
      </c>
      <c r="B10411" t="s">
        <v>182</v>
      </c>
      <c r="E10411" s="3">
        <f>HYPERLINK("https://sao.dolgi.msk.ru/account/1404279751/", 1404279751)</f>
        <v>1404279751</v>
      </c>
      <c r="F10411">
        <v>-1675.19</v>
      </c>
    </row>
    <row r="10412" spans="1:6" hidden="1" x14ac:dyDescent="0.25">
      <c r="A10412" t="s">
        <v>701</v>
      </c>
      <c r="B10412" t="s">
        <v>183</v>
      </c>
      <c r="E10412" s="3">
        <f>HYPERLINK("https://sao.dolgi.msk.ru/account/1404281851/", 1404281851)</f>
        <v>1404281851</v>
      </c>
      <c r="F10412">
        <v>0</v>
      </c>
    </row>
    <row r="10413" spans="1:6" hidden="1" x14ac:dyDescent="0.25">
      <c r="A10413" t="s">
        <v>701</v>
      </c>
      <c r="B10413" t="s">
        <v>184</v>
      </c>
      <c r="E10413" s="3">
        <f>HYPERLINK("https://sao.dolgi.msk.ru/account/1404280242/", 1404280242)</f>
        <v>1404280242</v>
      </c>
      <c r="F10413">
        <v>-1747.13</v>
      </c>
    </row>
    <row r="10414" spans="1:6" hidden="1" x14ac:dyDescent="0.25">
      <c r="A10414" t="s">
        <v>701</v>
      </c>
      <c r="B10414" t="s">
        <v>185</v>
      </c>
      <c r="E10414" s="3">
        <f>HYPERLINK("https://sao.dolgi.msk.ru/account/1404280373/", 1404280373)</f>
        <v>1404280373</v>
      </c>
      <c r="F10414">
        <v>-2366.5</v>
      </c>
    </row>
    <row r="10415" spans="1:6" x14ac:dyDescent="0.25">
      <c r="A10415" t="s">
        <v>701</v>
      </c>
      <c r="B10415" t="s">
        <v>186</v>
      </c>
      <c r="C10415" s="5" t="str">
        <f>" кв. "&amp;B10415</f>
        <v xml:space="preserve"> кв. 182</v>
      </c>
      <c r="D10415" s="5" t="str">
        <f>CONCATENATE(A10415,C10415)</f>
        <v>Смольная ул., дом 51 к.2 кв. 182</v>
      </c>
      <c r="E10415" s="3">
        <f>HYPERLINK("https://sao.dolgi.msk.ru/account/1404280381/", 1404280381)</f>
        <v>1404280381</v>
      </c>
      <c r="F10415">
        <v>1583.05</v>
      </c>
    </row>
    <row r="10416" spans="1:6" hidden="1" x14ac:dyDescent="0.25">
      <c r="A10416" t="s">
        <v>701</v>
      </c>
      <c r="B10416" t="s">
        <v>187</v>
      </c>
      <c r="E10416" s="3">
        <f>HYPERLINK("https://sao.dolgi.msk.ru/account/1404281501/", 1404281501)</f>
        <v>1404281501</v>
      </c>
      <c r="F10416">
        <v>-2524.6</v>
      </c>
    </row>
    <row r="10417" spans="1:6" hidden="1" x14ac:dyDescent="0.25">
      <c r="A10417" t="s">
        <v>701</v>
      </c>
      <c r="B10417" t="s">
        <v>188</v>
      </c>
      <c r="E10417" s="3">
        <f>HYPERLINK("https://sao.dolgi.msk.ru/account/1404279532/", 1404279532)</f>
        <v>1404279532</v>
      </c>
      <c r="F10417">
        <v>-1747.13</v>
      </c>
    </row>
    <row r="10418" spans="1:6" hidden="1" x14ac:dyDescent="0.25">
      <c r="A10418" t="s">
        <v>701</v>
      </c>
      <c r="B10418" t="s">
        <v>189</v>
      </c>
      <c r="E10418" s="3">
        <f>HYPERLINK("https://sao.dolgi.msk.ru/account/1404279444/", 1404279444)</f>
        <v>1404279444</v>
      </c>
      <c r="F10418">
        <v>-1183.25</v>
      </c>
    </row>
    <row r="10419" spans="1:6" hidden="1" x14ac:dyDescent="0.25">
      <c r="A10419" t="s">
        <v>701</v>
      </c>
      <c r="B10419" t="s">
        <v>190</v>
      </c>
      <c r="E10419" s="3">
        <f>HYPERLINK("https://sao.dolgi.msk.ru/account/1404279516/", 1404279516)</f>
        <v>1404279516</v>
      </c>
      <c r="F10419">
        <v>0</v>
      </c>
    </row>
    <row r="10420" spans="1:6" x14ac:dyDescent="0.25">
      <c r="A10420" t="s">
        <v>701</v>
      </c>
      <c r="B10420" t="s">
        <v>191</v>
      </c>
      <c r="C10420" s="5" t="str">
        <f>" кв. "&amp;B10420</f>
        <v xml:space="preserve"> кв. 187</v>
      </c>
      <c r="D10420" s="5" t="str">
        <f>CONCATENATE(A10420,C10420)</f>
        <v>Смольная ул., дом 51 к.2 кв. 187</v>
      </c>
      <c r="E10420" s="3">
        <f>HYPERLINK("https://sao.dolgi.msk.ru/account/1404280234/", 1404280234)</f>
        <v>1404280234</v>
      </c>
      <c r="F10420">
        <v>2337.46</v>
      </c>
    </row>
    <row r="10421" spans="1:6" hidden="1" x14ac:dyDescent="0.25">
      <c r="A10421" t="s">
        <v>701</v>
      </c>
      <c r="B10421" t="s">
        <v>192</v>
      </c>
      <c r="E10421" s="3">
        <f>HYPERLINK("https://sao.dolgi.msk.ru/account/1404280066/", 1404280066)</f>
        <v>1404280066</v>
      </c>
      <c r="F10421">
        <v>0</v>
      </c>
    </row>
    <row r="10422" spans="1:6" x14ac:dyDescent="0.25">
      <c r="A10422" t="s">
        <v>701</v>
      </c>
      <c r="B10422" t="s">
        <v>193</v>
      </c>
      <c r="C10422" s="5" t="str">
        <f>" кв. "&amp;B10422</f>
        <v xml:space="preserve"> кв. 189</v>
      </c>
      <c r="D10422" s="5" t="str">
        <f>CONCATENATE(A10422,C10422)</f>
        <v>Смольная ул., дом 51 к.2 кв. 189</v>
      </c>
      <c r="E10422" s="3">
        <f>HYPERLINK("https://sao.dolgi.msk.ru/account/1404280023/", 1404280023)</f>
        <v>1404280023</v>
      </c>
      <c r="F10422">
        <v>1613.13</v>
      </c>
    </row>
    <row r="10423" spans="1:6" hidden="1" x14ac:dyDescent="0.25">
      <c r="A10423" t="s">
        <v>701</v>
      </c>
      <c r="B10423" t="s">
        <v>194</v>
      </c>
      <c r="E10423" s="3">
        <f>HYPERLINK("https://sao.dolgi.msk.ru/account/1404281616/", 1404281616)</f>
        <v>1404281616</v>
      </c>
      <c r="F10423">
        <v>-2773.24</v>
      </c>
    </row>
    <row r="10424" spans="1:6" hidden="1" x14ac:dyDescent="0.25">
      <c r="A10424" t="s">
        <v>701</v>
      </c>
      <c r="B10424" t="s">
        <v>195</v>
      </c>
      <c r="E10424" s="3">
        <f>HYPERLINK("https://sao.dolgi.msk.ru/account/1404279962/", 1404279962)</f>
        <v>1404279962</v>
      </c>
      <c r="F10424">
        <v>-3429.57</v>
      </c>
    </row>
    <row r="10425" spans="1:6" x14ac:dyDescent="0.25">
      <c r="A10425" t="s">
        <v>701</v>
      </c>
      <c r="B10425" t="s">
        <v>196</v>
      </c>
      <c r="C10425" s="5" t="str">
        <f>" кв. "&amp;B10425</f>
        <v xml:space="preserve"> кв. 192</v>
      </c>
      <c r="D10425" s="5" t="str">
        <f>CONCATENATE(A10425,C10425)</f>
        <v>Смольная ул., дом 51 к.2 кв. 192</v>
      </c>
      <c r="E10425" s="3">
        <f>HYPERLINK("https://sao.dolgi.msk.ru/account/1404279831/", 1404279831)</f>
        <v>1404279831</v>
      </c>
      <c r="F10425">
        <v>1195.6099999999999</v>
      </c>
    </row>
    <row r="10426" spans="1:6" hidden="1" x14ac:dyDescent="0.25">
      <c r="A10426" t="s">
        <v>701</v>
      </c>
      <c r="B10426" t="s">
        <v>197</v>
      </c>
      <c r="E10426" s="3">
        <f>HYPERLINK("https://sao.dolgi.msk.ru/account/1404280445/", 1404280445)</f>
        <v>1404280445</v>
      </c>
      <c r="F10426">
        <v>0</v>
      </c>
    </row>
    <row r="10427" spans="1:6" hidden="1" x14ac:dyDescent="0.25">
      <c r="A10427" t="s">
        <v>701</v>
      </c>
      <c r="B10427" t="s">
        <v>198</v>
      </c>
      <c r="E10427" s="3">
        <f>HYPERLINK("https://sao.dolgi.msk.ru/account/1404280402/", 1404280402)</f>
        <v>1404280402</v>
      </c>
      <c r="F10427">
        <v>0</v>
      </c>
    </row>
    <row r="10428" spans="1:6" hidden="1" x14ac:dyDescent="0.25">
      <c r="A10428" t="s">
        <v>701</v>
      </c>
      <c r="B10428" t="s">
        <v>199</v>
      </c>
      <c r="E10428" s="3">
        <f>HYPERLINK("https://sao.dolgi.msk.ru/account/1404281069/", 1404281069)</f>
        <v>1404281069</v>
      </c>
      <c r="F10428">
        <v>-4631.6000000000004</v>
      </c>
    </row>
    <row r="10429" spans="1:6" hidden="1" x14ac:dyDescent="0.25">
      <c r="A10429" t="s">
        <v>701</v>
      </c>
      <c r="B10429" t="s">
        <v>200</v>
      </c>
      <c r="E10429" s="3">
        <f>HYPERLINK("https://sao.dolgi.msk.ru/account/1404282555/", 1404282555)</f>
        <v>1404282555</v>
      </c>
      <c r="F10429">
        <v>-811.63</v>
      </c>
    </row>
    <row r="10430" spans="1:6" hidden="1" x14ac:dyDescent="0.25">
      <c r="A10430" t="s">
        <v>701</v>
      </c>
      <c r="B10430" t="s">
        <v>201</v>
      </c>
      <c r="E10430" s="3">
        <f>HYPERLINK("https://sao.dolgi.msk.ru/account/1404281368/", 1404281368)</f>
        <v>1404281368</v>
      </c>
      <c r="F10430">
        <v>-1051.05</v>
      </c>
    </row>
    <row r="10431" spans="1:6" hidden="1" x14ac:dyDescent="0.25">
      <c r="A10431" t="s">
        <v>701</v>
      </c>
      <c r="B10431" t="s">
        <v>202</v>
      </c>
      <c r="E10431" s="3">
        <f>HYPERLINK("https://sao.dolgi.msk.ru/account/1404279583/", 1404279583)</f>
        <v>1404279583</v>
      </c>
      <c r="F10431">
        <v>-3508.16</v>
      </c>
    </row>
    <row r="10432" spans="1:6" hidden="1" x14ac:dyDescent="0.25">
      <c r="A10432" t="s">
        <v>701</v>
      </c>
      <c r="B10432" t="s">
        <v>203</v>
      </c>
      <c r="E10432" s="3">
        <f>HYPERLINK("https://sao.dolgi.msk.ru/account/1404282467/", 1404282467)</f>
        <v>1404282467</v>
      </c>
      <c r="F10432">
        <v>-1747.13</v>
      </c>
    </row>
    <row r="10433" spans="1:6" hidden="1" x14ac:dyDescent="0.25">
      <c r="A10433" t="s">
        <v>701</v>
      </c>
      <c r="B10433" t="s">
        <v>204</v>
      </c>
      <c r="E10433" s="3">
        <f>HYPERLINK("https://sao.dolgi.msk.ru/account/1404280103/", 1404280103)</f>
        <v>1404280103</v>
      </c>
      <c r="F10433">
        <v>-588.16999999999996</v>
      </c>
    </row>
    <row r="10434" spans="1:6" hidden="1" x14ac:dyDescent="0.25">
      <c r="A10434" t="s">
        <v>701</v>
      </c>
      <c r="B10434" t="s">
        <v>204</v>
      </c>
      <c r="E10434" s="3">
        <f>HYPERLINK("https://sao.dolgi.msk.ru/account/1404281587/", 1404281587)</f>
        <v>1404281587</v>
      </c>
      <c r="F10434">
        <v>-1176.32</v>
      </c>
    </row>
    <row r="10435" spans="1:6" hidden="1" x14ac:dyDescent="0.25">
      <c r="A10435" t="s">
        <v>701</v>
      </c>
      <c r="B10435" t="s">
        <v>205</v>
      </c>
      <c r="E10435" s="3">
        <f>HYPERLINK("https://sao.dolgi.msk.ru/account/1404281755/", 1404281755)</f>
        <v>1404281755</v>
      </c>
      <c r="F10435">
        <v>-2731.63</v>
      </c>
    </row>
    <row r="10436" spans="1:6" x14ac:dyDescent="0.25">
      <c r="A10436" t="s">
        <v>701</v>
      </c>
      <c r="B10436" t="s">
        <v>206</v>
      </c>
      <c r="C10436" s="5" t="str">
        <f>" кв. "&amp;B10436</f>
        <v xml:space="preserve"> кв. 202</v>
      </c>
      <c r="D10436" s="5" t="str">
        <f>CONCATENATE(A10436,C10436)</f>
        <v>Смольная ул., дом 51 к.2 кв. 202</v>
      </c>
      <c r="E10436" s="3">
        <f>HYPERLINK("https://sao.dolgi.msk.ru/account/1404280357/", 1404280357)</f>
        <v>1404280357</v>
      </c>
      <c r="F10436">
        <v>1802.91</v>
      </c>
    </row>
    <row r="10437" spans="1:6" hidden="1" x14ac:dyDescent="0.25">
      <c r="A10437" t="s">
        <v>701</v>
      </c>
      <c r="B10437" t="s">
        <v>207</v>
      </c>
      <c r="E10437" s="3">
        <f>HYPERLINK("https://sao.dolgi.msk.ru/account/1404282539/", 1404282539)</f>
        <v>1404282539</v>
      </c>
      <c r="F10437">
        <v>-1742.51</v>
      </c>
    </row>
    <row r="10438" spans="1:6" hidden="1" x14ac:dyDescent="0.25">
      <c r="A10438" t="s">
        <v>701</v>
      </c>
      <c r="B10438" t="s">
        <v>208</v>
      </c>
      <c r="E10438" s="3">
        <f>HYPERLINK("https://sao.dolgi.msk.ru/account/1404174669/", 1404174669)</f>
        <v>1404174669</v>
      </c>
      <c r="F10438">
        <v>-1176.32</v>
      </c>
    </row>
    <row r="10439" spans="1:6" hidden="1" x14ac:dyDescent="0.25">
      <c r="A10439" t="s">
        <v>701</v>
      </c>
      <c r="B10439" t="s">
        <v>208</v>
      </c>
      <c r="E10439" s="3">
        <f>HYPERLINK("https://sao.dolgi.msk.ru/account/1404279567/", 1404279567)</f>
        <v>1404279567</v>
      </c>
      <c r="F10439">
        <v>-1176.32</v>
      </c>
    </row>
    <row r="10440" spans="1:6" x14ac:dyDescent="0.25">
      <c r="A10440" t="s">
        <v>701</v>
      </c>
      <c r="B10440" t="s">
        <v>209</v>
      </c>
      <c r="C10440" s="5" t="str">
        <f>" кв. "&amp;B10440</f>
        <v xml:space="preserve"> кв. 205</v>
      </c>
      <c r="D10440" s="5" t="str">
        <f>CONCATENATE(A10440,C10440)</f>
        <v>Смольная ул., дом 51 к.2 кв. 205</v>
      </c>
      <c r="E10440" s="3">
        <f>HYPERLINK("https://sao.dolgi.msk.ru/account/1404280058/", 1404280058)</f>
        <v>1404280058</v>
      </c>
      <c r="F10440">
        <v>1347.43</v>
      </c>
    </row>
    <row r="10441" spans="1:6" hidden="1" x14ac:dyDescent="0.25">
      <c r="A10441" t="s">
        <v>701</v>
      </c>
      <c r="B10441" t="s">
        <v>210</v>
      </c>
      <c r="E10441" s="3">
        <f>HYPERLINK("https://sao.dolgi.msk.ru/account/1404281261/", 1404281261)</f>
        <v>1404281261</v>
      </c>
      <c r="F10441">
        <v>-3522.01</v>
      </c>
    </row>
    <row r="10442" spans="1:6" hidden="1" x14ac:dyDescent="0.25">
      <c r="A10442" t="s">
        <v>701</v>
      </c>
      <c r="B10442" t="s">
        <v>211</v>
      </c>
      <c r="E10442" s="3">
        <f>HYPERLINK("https://sao.dolgi.msk.ru/account/1404282133/", 1404282133)</f>
        <v>1404282133</v>
      </c>
      <c r="F10442">
        <v>-1747.13</v>
      </c>
    </row>
    <row r="10443" spans="1:6" hidden="1" x14ac:dyDescent="0.25">
      <c r="A10443" t="s">
        <v>701</v>
      </c>
      <c r="B10443" t="s">
        <v>212</v>
      </c>
      <c r="E10443" s="3">
        <f>HYPERLINK("https://sao.dolgi.msk.ru/account/1404282117/", 1404282117)</f>
        <v>1404282117</v>
      </c>
      <c r="F10443">
        <v>-1463.29</v>
      </c>
    </row>
    <row r="10444" spans="1:6" x14ac:dyDescent="0.25">
      <c r="A10444" t="s">
        <v>701</v>
      </c>
      <c r="B10444" t="s">
        <v>213</v>
      </c>
      <c r="C10444" s="5" t="str">
        <f>" кв. "&amp;B10444</f>
        <v xml:space="preserve"> кв. 209</v>
      </c>
      <c r="D10444" s="5" t="str">
        <f>CONCATENATE(A10444,C10444)</f>
        <v>Смольная ул., дом 51 к.2 кв. 209</v>
      </c>
      <c r="E10444" s="3">
        <f>HYPERLINK("https://sao.dolgi.msk.ru/account/1404279559/", 1404279559)</f>
        <v>1404279559</v>
      </c>
      <c r="F10444">
        <v>1856.68</v>
      </c>
    </row>
    <row r="10445" spans="1:6" hidden="1" x14ac:dyDescent="0.25">
      <c r="A10445" t="s">
        <v>701</v>
      </c>
      <c r="B10445" t="s">
        <v>214</v>
      </c>
      <c r="E10445" s="3">
        <f>HYPERLINK("https://sao.dolgi.msk.ru/account/1404281202/", 1404281202)</f>
        <v>1404281202</v>
      </c>
      <c r="F10445">
        <v>-1776.09</v>
      </c>
    </row>
    <row r="10446" spans="1:6" hidden="1" x14ac:dyDescent="0.25">
      <c r="A10446" t="s">
        <v>701</v>
      </c>
      <c r="B10446" t="s">
        <v>215</v>
      </c>
      <c r="E10446" s="3">
        <f>HYPERLINK("https://sao.dolgi.msk.ru/account/1404280779/", 1404280779)</f>
        <v>1404280779</v>
      </c>
      <c r="F10446">
        <v>-1742.51</v>
      </c>
    </row>
    <row r="10447" spans="1:6" hidden="1" x14ac:dyDescent="0.25">
      <c r="A10447" t="s">
        <v>701</v>
      </c>
      <c r="B10447" t="s">
        <v>216</v>
      </c>
      <c r="E10447" s="3">
        <f>HYPERLINK("https://sao.dolgi.msk.ru/account/1404281317/", 1404281317)</f>
        <v>1404281317</v>
      </c>
      <c r="F10447">
        <v>0</v>
      </c>
    </row>
    <row r="10448" spans="1:6" hidden="1" x14ac:dyDescent="0.25">
      <c r="A10448" t="s">
        <v>701</v>
      </c>
      <c r="B10448" t="s">
        <v>217</v>
      </c>
      <c r="E10448" s="3">
        <f>HYPERLINK("https://sao.dolgi.msk.ru/account/1404281456/", 1404281456)</f>
        <v>1404281456</v>
      </c>
      <c r="F10448">
        <v>-1808.19</v>
      </c>
    </row>
    <row r="10449" spans="1:6" hidden="1" x14ac:dyDescent="0.25">
      <c r="A10449" t="s">
        <v>701</v>
      </c>
      <c r="B10449" t="s">
        <v>218</v>
      </c>
      <c r="E10449" s="3">
        <f>HYPERLINK("https://sao.dolgi.msk.ru/account/1404282547/", 1404282547)</f>
        <v>1404282547</v>
      </c>
      <c r="F10449">
        <v>-1756.4</v>
      </c>
    </row>
    <row r="10450" spans="1:6" hidden="1" x14ac:dyDescent="0.25">
      <c r="A10450" t="s">
        <v>701</v>
      </c>
      <c r="B10450" t="s">
        <v>219</v>
      </c>
      <c r="E10450" s="3">
        <f>HYPERLINK("https://sao.dolgi.msk.ru/account/1404280082/", 1404280082)</f>
        <v>1404280082</v>
      </c>
      <c r="F10450">
        <v>-1733.29</v>
      </c>
    </row>
    <row r="10451" spans="1:6" hidden="1" x14ac:dyDescent="0.25">
      <c r="A10451" t="s">
        <v>701</v>
      </c>
      <c r="B10451" t="s">
        <v>220</v>
      </c>
      <c r="E10451" s="3">
        <f>HYPERLINK("https://sao.dolgi.msk.ru/account/1404281771/", 1404281771)</f>
        <v>1404281771</v>
      </c>
      <c r="F10451">
        <v>-2357.25</v>
      </c>
    </row>
    <row r="10452" spans="1:6" hidden="1" x14ac:dyDescent="0.25">
      <c r="A10452" t="s">
        <v>701</v>
      </c>
      <c r="B10452" t="s">
        <v>221</v>
      </c>
      <c r="E10452" s="3">
        <f>HYPERLINK("https://sao.dolgi.msk.ru/account/1404280525/", 1404280525)</f>
        <v>1404280525</v>
      </c>
      <c r="F10452">
        <v>0</v>
      </c>
    </row>
    <row r="10453" spans="1:6" hidden="1" x14ac:dyDescent="0.25">
      <c r="A10453" t="s">
        <v>701</v>
      </c>
      <c r="B10453" t="s">
        <v>222</v>
      </c>
      <c r="E10453" s="3">
        <f>HYPERLINK("https://sao.dolgi.msk.ru/account/1404279508/", 1404279508)</f>
        <v>1404279508</v>
      </c>
      <c r="F10453">
        <v>-3262.79</v>
      </c>
    </row>
    <row r="10454" spans="1:6" hidden="1" x14ac:dyDescent="0.25">
      <c r="A10454" t="s">
        <v>701</v>
      </c>
      <c r="B10454" t="s">
        <v>223</v>
      </c>
      <c r="E10454" s="3">
        <f>HYPERLINK("https://sao.dolgi.msk.ru/account/1404279655/", 1404279655)</f>
        <v>1404279655</v>
      </c>
      <c r="F10454">
        <v>0</v>
      </c>
    </row>
    <row r="10455" spans="1:6" hidden="1" x14ac:dyDescent="0.25">
      <c r="A10455" t="s">
        <v>701</v>
      </c>
      <c r="B10455" t="s">
        <v>224</v>
      </c>
      <c r="E10455" s="3">
        <f>HYPERLINK("https://sao.dolgi.msk.ru/account/1404279612/", 1404279612)</f>
        <v>1404279612</v>
      </c>
      <c r="F10455">
        <v>-3954.33</v>
      </c>
    </row>
    <row r="10456" spans="1:6" hidden="1" x14ac:dyDescent="0.25">
      <c r="A10456" t="s">
        <v>701</v>
      </c>
      <c r="B10456" t="s">
        <v>225</v>
      </c>
      <c r="E10456" s="3">
        <f>HYPERLINK("https://sao.dolgi.msk.ru/account/1404281114/", 1404281114)</f>
        <v>1404281114</v>
      </c>
      <c r="F10456">
        <v>0</v>
      </c>
    </row>
    <row r="10457" spans="1:6" hidden="1" x14ac:dyDescent="0.25">
      <c r="A10457" t="s">
        <v>701</v>
      </c>
      <c r="B10457" t="s">
        <v>226</v>
      </c>
      <c r="E10457" s="3">
        <f>HYPERLINK("https://sao.dolgi.msk.ru/account/1404280728/", 1404280728)</f>
        <v>1404280728</v>
      </c>
      <c r="F10457">
        <v>-3503.53</v>
      </c>
    </row>
    <row r="10458" spans="1:6" hidden="1" x14ac:dyDescent="0.25">
      <c r="A10458" t="s">
        <v>701</v>
      </c>
      <c r="B10458" t="s">
        <v>227</v>
      </c>
      <c r="E10458" s="3">
        <f>HYPERLINK("https://sao.dolgi.msk.ru/account/1404282504/", 1404282504)</f>
        <v>1404282504</v>
      </c>
      <c r="F10458">
        <v>-1733.29</v>
      </c>
    </row>
    <row r="10459" spans="1:6" hidden="1" x14ac:dyDescent="0.25">
      <c r="A10459" t="s">
        <v>701</v>
      </c>
      <c r="B10459" t="s">
        <v>228</v>
      </c>
      <c r="E10459" s="3">
        <f>HYPERLINK("https://sao.dolgi.msk.ru/account/1404282491/", 1404282491)</f>
        <v>1404282491</v>
      </c>
      <c r="F10459">
        <v>-1176.31</v>
      </c>
    </row>
    <row r="10460" spans="1:6" hidden="1" x14ac:dyDescent="0.25">
      <c r="A10460" t="s">
        <v>701</v>
      </c>
      <c r="B10460" t="s">
        <v>229</v>
      </c>
      <c r="E10460" s="3">
        <f>HYPERLINK("https://sao.dolgi.msk.ru/account/1404281691/", 1404281691)</f>
        <v>1404281691</v>
      </c>
      <c r="F10460">
        <v>0</v>
      </c>
    </row>
    <row r="10461" spans="1:6" hidden="1" x14ac:dyDescent="0.25">
      <c r="A10461" t="s">
        <v>701</v>
      </c>
      <c r="B10461" t="s">
        <v>230</v>
      </c>
      <c r="E10461" s="3">
        <f>HYPERLINK("https://sao.dolgi.msk.ru/account/1404280218/", 1404280218)</f>
        <v>1404280218</v>
      </c>
      <c r="F10461">
        <v>-3508.16</v>
      </c>
    </row>
    <row r="10462" spans="1:6" x14ac:dyDescent="0.25">
      <c r="A10462" t="s">
        <v>701</v>
      </c>
      <c r="B10462" t="s">
        <v>231</v>
      </c>
      <c r="C10462" s="5" t="str">
        <f>" кв. "&amp;B10462</f>
        <v xml:space="preserve"> кв. 227</v>
      </c>
      <c r="D10462" s="5" t="str">
        <f>CONCATENATE(A10462,C10462)</f>
        <v>Смольная ул., дом 51 к.2 кв. 227</v>
      </c>
      <c r="E10462" s="3">
        <f>HYPERLINK("https://sao.dolgi.msk.ru/account/1404281253/", 1404281253)</f>
        <v>1404281253</v>
      </c>
      <c r="F10462">
        <v>1192.45</v>
      </c>
    </row>
    <row r="10463" spans="1:6" hidden="1" x14ac:dyDescent="0.25">
      <c r="A10463" t="s">
        <v>701</v>
      </c>
      <c r="B10463" t="s">
        <v>232</v>
      </c>
      <c r="E10463" s="3">
        <f>HYPERLINK("https://sao.dolgi.msk.ru/account/1404281288/", 1404281288)</f>
        <v>1404281288</v>
      </c>
      <c r="F10463">
        <v>-2366.5</v>
      </c>
    </row>
    <row r="10464" spans="1:6" hidden="1" x14ac:dyDescent="0.25">
      <c r="A10464" t="s">
        <v>701</v>
      </c>
      <c r="B10464" t="s">
        <v>233</v>
      </c>
      <c r="E10464" s="3">
        <f>HYPERLINK("https://sao.dolgi.msk.ru/account/1404281683/", 1404281683)</f>
        <v>1404281683</v>
      </c>
      <c r="F10464">
        <v>-1442.6</v>
      </c>
    </row>
    <row r="10465" spans="1:6" hidden="1" x14ac:dyDescent="0.25">
      <c r="A10465" t="s">
        <v>701</v>
      </c>
      <c r="B10465" t="s">
        <v>234</v>
      </c>
      <c r="E10465" s="3">
        <f>HYPERLINK("https://sao.dolgi.msk.ru/account/1404280808/", 1404280808)</f>
        <v>1404280808</v>
      </c>
      <c r="F10465">
        <v>-3517.4</v>
      </c>
    </row>
    <row r="10466" spans="1:6" hidden="1" x14ac:dyDescent="0.25">
      <c r="A10466" t="s">
        <v>701</v>
      </c>
      <c r="B10466" t="s">
        <v>235</v>
      </c>
      <c r="E10466" s="3">
        <f>HYPERLINK("https://sao.dolgi.msk.ru/account/1404282459/", 1404282459)</f>
        <v>1404282459</v>
      </c>
      <c r="F10466">
        <v>-1479.16</v>
      </c>
    </row>
    <row r="10467" spans="1:6" hidden="1" x14ac:dyDescent="0.25">
      <c r="A10467" t="s">
        <v>701</v>
      </c>
      <c r="B10467" t="s">
        <v>239</v>
      </c>
      <c r="E10467" s="3">
        <f>HYPERLINK("https://sao.dolgi.msk.ru/account/1404280111/", 1404280111)</f>
        <v>1404280111</v>
      </c>
      <c r="F10467">
        <v>-742.66</v>
      </c>
    </row>
    <row r="10468" spans="1:6" x14ac:dyDescent="0.25">
      <c r="A10468" t="s">
        <v>701</v>
      </c>
      <c r="B10468" t="s">
        <v>240</v>
      </c>
      <c r="C10468" s="5" t="str">
        <f>" кв. "&amp;B10468</f>
        <v xml:space="preserve"> кв. 233</v>
      </c>
      <c r="D10468" s="5" t="str">
        <f>CONCATENATE(A10468,C10468)</f>
        <v>Смольная ул., дом 51 к.2 кв. 233</v>
      </c>
      <c r="E10468" s="3">
        <f>HYPERLINK("https://sao.dolgi.msk.ru/account/1404281341/", 1404281341)</f>
        <v>1404281341</v>
      </c>
      <c r="F10468">
        <v>1853.51</v>
      </c>
    </row>
    <row r="10469" spans="1:6" hidden="1" x14ac:dyDescent="0.25">
      <c r="A10469" t="s">
        <v>701</v>
      </c>
      <c r="B10469" t="s">
        <v>241</v>
      </c>
      <c r="E10469" s="3">
        <f>HYPERLINK("https://sao.dolgi.msk.ru/account/1404282109/", 1404282109)</f>
        <v>1404282109</v>
      </c>
      <c r="F10469">
        <v>0</v>
      </c>
    </row>
    <row r="10470" spans="1:6" hidden="1" x14ac:dyDescent="0.25">
      <c r="A10470" t="s">
        <v>701</v>
      </c>
      <c r="B10470" t="s">
        <v>242</v>
      </c>
      <c r="E10470" s="3">
        <f>HYPERLINK("https://sao.dolgi.msk.ru/account/1404280998/", 1404280998)</f>
        <v>1404280998</v>
      </c>
      <c r="F10470">
        <v>0</v>
      </c>
    </row>
    <row r="10471" spans="1:6" x14ac:dyDescent="0.25">
      <c r="A10471" t="s">
        <v>701</v>
      </c>
      <c r="B10471" t="s">
        <v>243</v>
      </c>
      <c r="C10471" s="5" t="str">
        <f>" кв. "&amp;B10471</f>
        <v xml:space="preserve"> кв. 236</v>
      </c>
      <c r="D10471" s="5" t="str">
        <f>CONCATENATE(A10471,C10471)</f>
        <v>Смольная ул., дом 51 к.2 кв. 236</v>
      </c>
      <c r="E10471" s="3">
        <f>HYPERLINK("https://sao.dolgi.msk.ru/account/1404280488/", 1404280488)</f>
        <v>1404280488</v>
      </c>
      <c r="F10471">
        <v>1613.13</v>
      </c>
    </row>
    <row r="10472" spans="1:6" hidden="1" x14ac:dyDescent="0.25">
      <c r="A10472" t="s">
        <v>701</v>
      </c>
      <c r="B10472" t="s">
        <v>244</v>
      </c>
      <c r="E10472" s="3">
        <f>HYPERLINK("https://sao.dolgi.msk.ru/account/1404281659/", 1404281659)</f>
        <v>1404281659</v>
      </c>
      <c r="F10472">
        <v>-2713.16</v>
      </c>
    </row>
    <row r="10473" spans="1:6" hidden="1" x14ac:dyDescent="0.25">
      <c r="A10473" t="s">
        <v>701</v>
      </c>
      <c r="B10473" t="s">
        <v>245</v>
      </c>
      <c r="E10473" s="3">
        <f>HYPERLINK("https://sao.dolgi.msk.ru/account/1404280701/", 1404280701)</f>
        <v>1404280701</v>
      </c>
      <c r="F10473">
        <v>0</v>
      </c>
    </row>
    <row r="10474" spans="1:6" hidden="1" x14ac:dyDescent="0.25">
      <c r="A10474" t="s">
        <v>701</v>
      </c>
      <c r="B10474" t="s">
        <v>246</v>
      </c>
      <c r="E10474" s="3">
        <f>HYPERLINK("https://sao.dolgi.msk.ru/account/1404282088/", 1404282088)</f>
        <v>1404282088</v>
      </c>
      <c r="F10474">
        <v>-1761</v>
      </c>
    </row>
    <row r="10475" spans="1:6" x14ac:dyDescent="0.25">
      <c r="A10475" t="s">
        <v>701</v>
      </c>
      <c r="B10475" t="s">
        <v>247</v>
      </c>
      <c r="C10475" s="5" t="str">
        <f>" кв. "&amp;B10475</f>
        <v xml:space="preserve"> кв. 240</v>
      </c>
      <c r="D10475" s="5" t="str">
        <f>CONCATENATE(A10475,C10475)</f>
        <v>Смольная ул., дом 51 к.2 кв. 240</v>
      </c>
      <c r="E10475" s="3">
        <f>HYPERLINK("https://sao.dolgi.msk.ru/account/1404280496/", 1404280496)</f>
        <v>1404280496</v>
      </c>
      <c r="F10475">
        <v>1209.8499999999999</v>
      </c>
    </row>
    <row r="10476" spans="1:6" hidden="1" x14ac:dyDescent="0.25">
      <c r="A10476" t="s">
        <v>701</v>
      </c>
      <c r="B10476" t="s">
        <v>248</v>
      </c>
      <c r="E10476" s="3">
        <f>HYPERLINK("https://sao.dolgi.msk.ru/account/1404282061/", 1404282061)</f>
        <v>1404282061</v>
      </c>
      <c r="F10476">
        <v>-1955.14</v>
      </c>
    </row>
    <row r="10477" spans="1:6" x14ac:dyDescent="0.25">
      <c r="A10477" t="s">
        <v>701</v>
      </c>
      <c r="B10477" t="s">
        <v>249</v>
      </c>
      <c r="C10477" s="5" t="str">
        <f>" кв. "&amp;B10477</f>
        <v xml:space="preserve"> кв. 242</v>
      </c>
      <c r="D10477" s="5" t="str">
        <f>CONCATENATE(A10477,C10477)</f>
        <v>Смольная ул., дом 51 к.2 кв. 242</v>
      </c>
      <c r="E10477" s="3">
        <f>HYPERLINK("https://sao.dolgi.msk.ru/account/1404281034/", 1404281034)</f>
        <v>1404281034</v>
      </c>
      <c r="F10477">
        <v>2157.79</v>
      </c>
    </row>
    <row r="10478" spans="1:6" hidden="1" x14ac:dyDescent="0.25">
      <c r="A10478" t="s">
        <v>701</v>
      </c>
      <c r="B10478" t="s">
        <v>250</v>
      </c>
      <c r="E10478" s="3">
        <f>HYPERLINK("https://sao.dolgi.msk.ru/account/1404281173/", 1404281173)</f>
        <v>1404281173</v>
      </c>
      <c r="F10478">
        <v>-1756.38</v>
      </c>
    </row>
    <row r="10479" spans="1:6" x14ac:dyDescent="0.25">
      <c r="A10479" t="s">
        <v>701</v>
      </c>
      <c r="B10479" t="s">
        <v>251</v>
      </c>
      <c r="C10479" s="5" t="str">
        <f>" кв. "&amp;B10479</f>
        <v xml:space="preserve"> кв. 244</v>
      </c>
      <c r="D10479" s="5" t="str">
        <f>CONCATENATE(A10479,C10479)</f>
        <v>Смольная ул., дом 51 к.2 кв. 244</v>
      </c>
      <c r="E10479" s="3">
        <f>HYPERLINK("https://sao.dolgi.msk.ru/account/1404281747/", 1404281747)</f>
        <v>1404281747</v>
      </c>
      <c r="F10479">
        <v>1616.29</v>
      </c>
    </row>
    <row r="10480" spans="1:6" hidden="1" x14ac:dyDescent="0.25">
      <c r="A10480" t="s">
        <v>701</v>
      </c>
      <c r="B10480" t="s">
        <v>252</v>
      </c>
      <c r="E10480" s="3">
        <f>HYPERLINK("https://sao.dolgi.msk.ru/account/1404279604/", 1404279604)</f>
        <v>1404279604</v>
      </c>
      <c r="F10480">
        <v>-2713.16</v>
      </c>
    </row>
    <row r="10481" spans="1:6" x14ac:dyDescent="0.25">
      <c r="A10481" t="s">
        <v>701</v>
      </c>
      <c r="B10481" t="s">
        <v>253</v>
      </c>
      <c r="C10481" s="5" t="str">
        <f>" кв. "&amp;B10481</f>
        <v xml:space="preserve"> кв. 246</v>
      </c>
      <c r="D10481" s="5" t="str">
        <f>CONCATENATE(A10481,C10481)</f>
        <v>Смольная ул., дом 51 к.2 кв. 246</v>
      </c>
      <c r="E10481" s="3">
        <f>HYPERLINK("https://sao.dolgi.msk.ru/account/1404280621/", 1404280621)</f>
        <v>1404280621</v>
      </c>
      <c r="F10481">
        <v>2403.88</v>
      </c>
    </row>
    <row r="10482" spans="1:6" hidden="1" x14ac:dyDescent="0.25">
      <c r="A10482" t="s">
        <v>701</v>
      </c>
      <c r="B10482" t="s">
        <v>254</v>
      </c>
      <c r="E10482" s="3">
        <f>HYPERLINK("https://sao.dolgi.msk.ru/account/1404279487/", 1404279487)</f>
        <v>1404279487</v>
      </c>
      <c r="F10482">
        <v>-1765.63</v>
      </c>
    </row>
    <row r="10483" spans="1:6" hidden="1" x14ac:dyDescent="0.25">
      <c r="A10483" t="s">
        <v>701</v>
      </c>
      <c r="B10483" t="s">
        <v>255</v>
      </c>
      <c r="E10483" s="3">
        <f>HYPERLINK("https://sao.dolgi.msk.ru/account/1404282037/", 1404282037)</f>
        <v>1404282037</v>
      </c>
      <c r="F10483">
        <v>0</v>
      </c>
    </row>
    <row r="10484" spans="1:6" hidden="1" x14ac:dyDescent="0.25">
      <c r="A10484" t="s">
        <v>701</v>
      </c>
      <c r="B10484" t="s">
        <v>256</v>
      </c>
      <c r="E10484" s="3">
        <f>HYPERLINK("https://sao.dolgi.msk.ru/account/1404279647/", 1404279647)</f>
        <v>1404279647</v>
      </c>
      <c r="F10484">
        <v>-2717.78</v>
      </c>
    </row>
    <row r="10485" spans="1:6" hidden="1" x14ac:dyDescent="0.25">
      <c r="A10485" t="s">
        <v>701</v>
      </c>
      <c r="B10485" t="s">
        <v>257</v>
      </c>
      <c r="E10485" s="3">
        <f>HYPERLINK("https://sao.dolgi.msk.ru/account/1404280816/", 1404280816)</f>
        <v>1404280816</v>
      </c>
      <c r="F10485">
        <v>-2092.64</v>
      </c>
    </row>
    <row r="10486" spans="1:6" hidden="1" x14ac:dyDescent="0.25">
      <c r="A10486" t="s">
        <v>701</v>
      </c>
      <c r="B10486" t="s">
        <v>258</v>
      </c>
      <c r="E10486" s="3">
        <f>HYPERLINK("https://sao.dolgi.msk.ru/account/1404279495/", 1404279495)</f>
        <v>1404279495</v>
      </c>
      <c r="F10486">
        <v>-989.12</v>
      </c>
    </row>
    <row r="10487" spans="1:6" hidden="1" x14ac:dyDescent="0.25">
      <c r="A10487" t="s">
        <v>701</v>
      </c>
      <c r="B10487" t="s">
        <v>259</v>
      </c>
      <c r="E10487" s="3">
        <f>HYPERLINK("https://sao.dolgi.msk.ru/account/1404281333/", 1404281333)</f>
        <v>1404281333</v>
      </c>
      <c r="F10487">
        <v>-2366.5</v>
      </c>
    </row>
    <row r="10488" spans="1:6" hidden="1" x14ac:dyDescent="0.25">
      <c r="A10488" t="s">
        <v>701</v>
      </c>
      <c r="B10488" t="s">
        <v>260</v>
      </c>
      <c r="E10488" s="3">
        <f>HYPERLINK("https://sao.dolgi.msk.ru/account/1404282184/", 1404282184)</f>
        <v>1404282184</v>
      </c>
      <c r="F10488">
        <v>-1766.92</v>
      </c>
    </row>
    <row r="10489" spans="1:6" x14ac:dyDescent="0.25">
      <c r="A10489" t="s">
        <v>701</v>
      </c>
      <c r="B10489" t="s">
        <v>261</v>
      </c>
      <c r="C10489" s="5" t="str">
        <f t="shared" ref="C10489:C10490" si="448">" кв. "&amp;B10489</f>
        <v xml:space="preserve"> кв. 254</v>
      </c>
      <c r="D10489" s="5" t="str">
        <f>CONCATENATE(A10489,C10489)</f>
        <v>Смольная ул., дом 51 к.2 кв. 254</v>
      </c>
      <c r="E10489" s="3">
        <f>HYPERLINK("https://sao.dolgi.msk.ru/account/1404281499/", 1404281499)</f>
        <v>1404281499</v>
      </c>
      <c r="F10489">
        <v>2407.04</v>
      </c>
    </row>
    <row r="10490" spans="1:6" x14ac:dyDescent="0.25">
      <c r="A10490" t="s">
        <v>701</v>
      </c>
      <c r="B10490" t="s">
        <v>262</v>
      </c>
      <c r="C10490" s="5" t="str">
        <f t="shared" si="448"/>
        <v xml:space="preserve"> кв. 255</v>
      </c>
      <c r="D10490" s="5" t="str">
        <f>CONCATENATE(A10490,C10490)</f>
        <v>Смольная ул., дом 51 к.2 кв. 255</v>
      </c>
      <c r="E10490" s="3">
        <f>HYPERLINK("https://sao.dolgi.msk.ru/account/1404281712/", 1404281712)</f>
        <v>1404281712</v>
      </c>
      <c r="F10490">
        <v>1208.27</v>
      </c>
    </row>
    <row r="10491" spans="1:6" hidden="1" x14ac:dyDescent="0.25">
      <c r="A10491" t="s">
        <v>701</v>
      </c>
      <c r="B10491" t="s">
        <v>263</v>
      </c>
      <c r="E10491" s="3">
        <f>HYPERLINK("https://sao.dolgi.msk.ru/account/1404279911/", 1404279911)</f>
        <v>1404279911</v>
      </c>
      <c r="F10491">
        <v>-0.02</v>
      </c>
    </row>
    <row r="10492" spans="1:6" hidden="1" x14ac:dyDescent="0.25">
      <c r="A10492" t="s">
        <v>701</v>
      </c>
      <c r="B10492" t="s">
        <v>264</v>
      </c>
      <c r="E10492" s="3">
        <f>HYPERLINK("https://sao.dolgi.msk.ru/account/1404279794/", 1404279794)</f>
        <v>1404279794</v>
      </c>
      <c r="F10492">
        <v>-2031.4</v>
      </c>
    </row>
    <row r="10493" spans="1:6" hidden="1" x14ac:dyDescent="0.25">
      <c r="A10493" t="s">
        <v>701</v>
      </c>
      <c r="B10493" t="s">
        <v>265</v>
      </c>
      <c r="E10493" s="3">
        <f>HYPERLINK("https://sao.dolgi.msk.ru/account/1404280453/", 1404280453)</f>
        <v>1404280453</v>
      </c>
      <c r="F10493">
        <v>0</v>
      </c>
    </row>
    <row r="10494" spans="1:6" hidden="1" x14ac:dyDescent="0.25">
      <c r="A10494" t="s">
        <v>701</v>
      </c>
      <c r="B10494" t="s">
        <v>266</v>
      </c>
      <c r="E10494" s="3">
        <f>HYPERLINK("https://sao.dolgi.msk.ru/account/1404281472/", 1404281472)</f>
        <v>1404281472</v>
      </c>
      <c r="F10494">
        <v>0</v>
      </c>
    </row>
    <row r="10495" spans="1:6" x14ac:dyDescent="0.25">
      <c r="A10495" t="s">
        <v>701</v>
      </c>
      <c r="B10495" t="s">
        <v>267</v>
      </c>
      <c r="C10495" s="5" t="str">
        <f>" кв. "&amp;B10495</f>
        <v xml:space="preserve"> кв. 260</v>
      </c>
      <c r="D10495" s="5" t="str">
        <f>CONCATENATE(A10495,C10495)</f>
        <v>Смольная ул., дом 51 к.2 кв. 260</v>
      </c>
      <c r="E10495" s="3">
        <f>HYPERLINK("https://sao.dolgi.msk.ru/account/1404279903/", 1404279903)</f>
        <v>1404279903</v>
      </c>
      <c r="F10495">
        <v>1609.97</v>
      </c>
    </row>
    <row r="10496" spans="1:6" hidden="1" x14ac:dyDescent="0.25">
      <c r="A10496" t="s">
        <v>701</v>
      </c>
      <c r="B10496" t="s">
        <v>268</v>
      </c>
      <c r="E10496" s="3">
        <f>HYPERLINK("https://sao.dolgi.msk.ru/account/1404281608/", 1404281608)</f>
        <v>1404281608</v>
      </c>
      <c r="F10496">
        <v>-2722.41</v>
      </c>
    </row>
    <row r="10497" spans="1:6" x14ac:dyDescent="0.25">
      <c r="A10497" t="s">
        <v>702</v>
      </c>
      <c r="B10497" t="s">
        <v>5</v>
      </c>
      <c r="C10497" s="5" t="str">
        <f>" кв. "&amp;B10497</f>
        <v xml:space="preserve"> кв. 1</v>
      </c>
      <c r="D10497" s="5" t="str">
        <f>CONCATENATE(A10497,C10497)</f>
        <v>Смольная ул., дом 51 к.3 кв. 1</v>
      </c>
      <c r="E10497" s="3">
        <f>HYPERLINK("https://sao.dolgi.msk.ru/account/1404285019/", 1404285019)</f>
        <v>1404285019</v>
      </c>
      <c r="F10497">
        <v>1897.4</v>
      </c>
    </row>
    <row r="10498" spans="1:6" hidden="1" x14ac:dyDescent="0.25">
      <c r="A10498" t="s">
        <v>702</v>
      </c>
      <c r="B10498" t="s">
        <v>6</v>
      </c>
      <c r="E10498" s="3">
        <f>HYPERLINK("https://sao.dolgi.msk.ru/account/1404285633/", 1404285633)</f>
        <v>1404285633</v>
      </c>
      <c r="F10498">
        <v>-871.12</v>
      </c>
    </row>
    <row r="10499" spans="1:6" hidden="1" x14ac:dyDescent="0.25">
      <c r="A10499" t="s">
        <v>702</v>
      </c>
      <c r="B10499" t="s">
        <v>7</v>
      </c>
      <c r="E10499" s="3">
        <f>HYPERLINK("https://sao.dolgi.msk.ru/account/1404285617/", 1404285617)</f>
        <v>1404285617</v>
      </c>
      <c r="F10499">
        <v>-1277.93</v>
      </c>
    </row>
    <row r="10500" spans="1:6" hidden="1" x14ac:dyDescent="0.25">
      <c r="A10500" t="s">
        <v>702</v>
      </c>
      <c r="B10500" t="s">
        <v>8</v>
      </c>
      <c r="E10500" s="3">
        <f>HYPERLINK("https://sao.dolgi.msk.ru/account/1404284016/", 1404284016)</f>
        <v>1404284016</v>
      </c>
      <c r="F10500">
        <v>-3457.3</v>
      </c>
    </row>
    <row r="10501" spans="1:6" hidden="1" x14ac:dyDescent="0.25">
      <c r="A10501" t="s">
        <v>702</v>
      </c>
      <c r="B10501" t="s">
        <v>9</v>
      </c>
      <c r="E10501" s="3">
        <f>HYPERLINK("https://sao.dolgi.msk.ru/account/1404285254/", 1404285254)</f>
        <v>1404285254</v>
      </c>
      <c r="F10501">
        <v>-975.25</v>
      </c>
    </row>
    <row r="10502" spans="1:6" hidden="1" x14ac:dyDescent="0.25">
      <c r="A10502" t="s">
        <v>702</v>
      </c>
      <c r="B10502" t="s">
        <v>10</v>
      </c>
      <c r="E10502" s="3">
        <f>HYPERLINK("https://sao.dolgi.msk.ru/account/1404285027/", 1404285027)</f>
        <v>1404285027</v>
      </c>
      <c r="F10502">
        <v>0</v>
      </c>
    </row>
    <row r="10503" spans="1:6" hidden="1" x14ac:dyDescent="0.25">
      <c r="A10503" t="s">
        <v>702</v>
      </c>
      <c r="B10503" t="s">
        <v>11</v>
      </c>
      <c r="E10503" s="3">
        <f>HYPERLINK("https://sao.dolgi.msk.ru/account/1404285713/", 1404285713)</f>
        <v>1404285713</v>
      </c>
      <c r="F10503">
        <v>-2796.36</v>
      </c>
    </row>
    <row r="10504" spans="1:6" hidden="1" x14ac:dyDescent="0.25">
      <c r="A10504" t="s">
        <v>702</v>
      </c>
      <c r="B10504" t="s">
        <v>12</v>
      </c>
      <c r="E10504" s="3">
        <f>HYPERLINK("https://sao.dolgi.msk.ru/account/1404283574/", 1404283574)</f>
        <v>1404283574</v>
      </c>
      <c r="F10504">
        <v>-3475.8</v>
      </c>
    </row>
    <row r="10505" spans="1:6" hidden="1" x14ac:dyDescent="0.25">
      <c r="A10505" t="s">
        <v>702</v>
      </c>
      <c r="B10505" t="s">
        <v>13</v>
      </c>
      <c r="E10505" s="3">
        <f>HYPERLINK("https://sao.dolgi.msk.ru/account/1404282758/", 1404282758)</f>
        <v>1404282758</v>
      </c>
      <c r="F10505">
        <v>-873.56</v>
      </c>
    </row>
    <row r="10506" spans="1:6" hidden="1" x14ac:dyDescent="0.25">
      <c r="A10506" t="s">
        <v>702</v>
      </c>
      <c r="B10506" t="s">
        <v>14</v>
      </c>
      <c r="E10506" s="3">
        <f>HYPERLINK("https://sao.dolgi.msk.ru/account/1404284008/", 1404284008)</f>
        <v>1404284008</v>
      </c>
      <c r="F10506">
        <v>-2361.87</v>
      </c>
    </row>
    <row r="10507" spans="1:6" hidden="1" x14ac:dyDescent="0.25">
      <c r="A10507" t="s">
        <v>702</v>
      </c>
      <c r="B10507" t="s">
        <v>15</v>
      </c>
      <c r="E10507" s="3">
        <f>HYPERLINK("https://sao.dolgi.msk.ru/account/1404284155/", 1404284155)</f>
        <v>1404284155</v>
      </c>
      <c r="F10507">
        <v>-1497.08</v>
      </c>
    </row>
    <row r="10508" spans="1:6" hidden="1" x14ac:dyDescent="0.25">
      <c r="A10508" t="s">
        <v>702</v>
      </c>
      <c r="B10508" t="s">
        <v>16</v>
      </c>
      <c r="E10508" s="3">
        <f>HYPERLINK("https://sao.dolgi.msk.ru/account/1404284753/", 1404284753)</f>
        <v>1404284753</v>
      </c>
      <c r="F10508">
        <v>-2708.53</v>
      </c>
    </row>
    <row r="10509" spans="1:6" hidden="1" x14ac:dyDescent="0.25">
      <c r="A10509" t="s">
        <v>702</v>
      </c>
      <c r="B10509" t="s">
        <v>17</v>
      </c>
      <c r="E10509" s="3">
        <f>HYPERLINK("https://sao.dolgi.msk.ru/account/1404283339/", 1404283339)</f>
        <v>1404283339</v>
      </c>
      <c r="F10509">
        <v>-1742.51</v>
      </c>
    </row>
    <row r="10510" spans="1:6" x14ac:dyDescent="0.25">
      <c r="A10510" t="s">
        <v>702</v>
      </c>
      <c r="B10510" t="s">
        <v>18</v>
      </c>
      <c r="C10510" s="5" t="str">
        <f>" кв. "&amp;B10510</f>
        <v xml:space="preserve"> кв. 14</v>
      </c>
      <c r="D10510" s="5" t="str">
        <f>CONCATENATE(A10510,C10510)</f>
        <v>Смольная ул., дом 51 к.3 кв. 14</v>
      </c>
      <c r="E10510" s="3">
        <f>HYPERLINK("https://sao.dolgi.msk.ru/account/1404285641/", 1404285641)</f>
        <v>1404285641</v>
      </c>
      <c r="F10510">
        <v>1616.29</v>
      </c>
    </row>
    <row r="10511" spans="1:6" hidden="1" x14ac:dyDescent="0.25">
      <c r="A10511" t="s">
        <v>702</v>
      </c>
      <c r="B10511" t="s">
        <v>19</v>
      </c>
      <c r="E10511" s="3">
        <f>HYPERLINK("https://sao.dolgi.msk.ru/account/1404283304/", 1404283304)</f>
        <v>1404283304</v>
      </c>
      <c r="F10511">
        <v>-1886.76</v>
      </c>
    </row>
    <row r="10512" spans="1:6" hidden="1" x14ac:dyDescent="0.25">
      <c r="A10512" t="s">
        <v>702</v>
      </c>
      <c r="B10512" t="s">
        <v>20</v>
      </c>
      <c r="E10512" s="3">
        <f>HYPERLINK("https://sao.dolgi.msk.ru/account/1404282942/", 1404282942)</f>
        <v>1404282942</v>
      </c>
      <c r="F10512">
        <v>-3334.19</v>
      </c>
    </row>
    <row r="10513" spans="1:6" hidden="1" x14ac:dyDescent="0.25">
      <c r="A10513" t="s">
        <v>702</v>
      </c>
      <c r="B10513" t="s">
        <v>21</v>
      </c>
      <c r="E10513" s="3">
        <f>HYPERLINK("https://sao.dolgi.msk.ru/account/1404283275/", 1404283275)</f>
        <v>1404283275</v>
      </c>
      <c r="F10513">
        <v>-1742.51</v>
      </c>
    </row>
    <row r="10514" spans="1:6" hidden="1" x14ac:dyDescent="0.25">
      <c r="A10514" t="s">
        <v>702</v>
      </c>
      <c r="B10514" t="s">
        <v>22</v>
      </c>
      <c r="E10514" s="3">
        <f>HYPERLINK("https://sao.dolgi.msk.ru/account/1404283734/", 1404283734)</f>
        <v>1404283734</v>
      </c>
      <c r="F10514">
        <v>-2361.87</v>
      </c>
    </row>
    <row r="10515" spans="1:6" hidden="1" x14ac:dyDescent="0.25">
      <c r="A10515" t="s">
        <v>702</v>
      </c>
      <c r="B10515" t="s">
        <v>23</v>
      </c>
      <c r="E10515" s="3">
        <f>HYPERLINK("https://sao.dolgi.msk.ru/account/1404284577/", 1404284577)</f>
        <v>1404284577</v>
      </c>
      <c r="F10515">
        <v>-2097.2800000000002</v>
      </c>
    </row>
    <row r="10516" spans="1:6" hidden="1" x14ac:dyDescent="0.25">
      <c r="A10516" t="s">
        <v>702</v>
      </c>
      <c r="B10516" t="s">
        <v>24</v>
      </c>
      <c r="E10516" s="3">
        <f>HYPERLINK("https://sao.dolgi.msk.ru/account/1404283144/", 1404283144)</f>
        <v>1404283144</v>
      </c>
      <c r="F10516">
        <v>-3452.68</v>
      </c>
    </row>
    <row r="10517" spans="1:6" hidden="1" x14ac:dyDescent="0.25">
      <c r="A10517" t="s">
        <v>702</v>
      </c>
      <c r="B10517" t="s">
        <v>25</v>
      </c>
      <c r="E10517" s="3">
        <f>HYPERLINK("https://sao.dolgi.msk.ru/account/1404285764/", 1404285764)</f>
        <v>1404285764</v>
      </c>
      <c r="F10517">
        <v>-1742.51</v>
      </c>
    </row>
    <row r="10518" spans="1:6" hidden="1" x14ac:dyDescent="0.25">
      <c r="A10518" t="s">
        <v>702</v>
      </c>
      <c r="B10518" t="s">
        <v>26</v>
      </c>
      <c r="E10518" s="3">
        <f>HYPERLINK("https://sao.dolgi.msk.ru/account/1404285043/", 1404285043)</f>
        <v>1404285043</v>
      </c>
      <c r="F10518">
        <v>0</v>
      </c>
    </row>
    <row r="10519" spans="1:6" hidden="1" x14ac:dyDescent="0.25">
      <c r="A10519" t="s">
        <v>702</v>
      </c>
      <c r="B10519" t="s">
        <v>27</v>
      </c>
      <c r="E10519" s="3">
        <f>HYPERLINK("https://sao.dolgi.msk.ru/account/1404282969/", 1404282969)</f>
        <v>1404282969</v>
      </c>
      <c r="F10519">
        <v>0</v>
      </c>
    </row>
    <row r="10520" spans="1:6" x14ac:dyDescent="0.25">
      <c r="A10520" t="s">
        <v>702</v>
      </c>
      <c r="B10520" t="s">
        <v>28</v>
      </c>
      <c r="C10520" s="5" t="str">
        <f t="shared" ref="C10520:C10521" si="449">" кв. "&amp;B10520</f>
        <v xml:space="preserve"> кв. 24</v>
      </c>
      <c r="D10520" s="5" t="str">
        <f>CONCATENATE(A10520,C10520)</f>
        <v>Смольная ул., дом 51 к.3 кв. 24</v>
      </c>
      <c r="E10520" s="3">
        <f>HYPERLINK("https://sao.dolgi.msk.ru/account/1404282977/", 1404282977)</f>
        <v>1404282977</v>
      </c>
      <c r="F10520">
        <v>1844.02</v>
      </c>
    </row>
    <row r="10521" spans="1:6" x14ac:dyDescent="0.25">
      <c r="A10521" t="s">
        <v>702</v>
      </c>
      <c r="B10521" t="s">
        <v>29</v>
      </c>
      <c r="C10521" s="5" t="str">
        <f t="shared" si="449"/>
        <v xml:space="preserve"> кв. 25</v>
      </c>
      <c r="D10521" s="5" t="str">
        <f>CONCATENATE(A10521,C10521)</f>
        <v>Смольная ул., дом 51 к.3 кв. 25</v>
      </c>
      <c r="E10521" s="3">
        <f>HYPERLINK("https://sao.dolgi.msk.ru/account/1404282838/", 1404282838)</f>
        <v>1404282838</v>
      </c>
      <c r="F10521">
        <v>1192.45</v>
      </c>
    </row>
    <row r="10522" spans="1:6" hidden="1" x14ac:dyDescent="0.25">
      <c r="A10522" t="s">
        <v>702</v>
      </c>
      <c r="B10522" t="s">
        <v>30</v>
      </c>
      <c r="E10522" s="3">
        <f>HYPERLINK("https://sao.dolgi.msk.ru/account/1404283347/", 1404283347)</f>
        <v>1404283347</v>
      </c>
      <c r="F10522">
        <v>-2352.63</v>
      </c>
    </row>
    <row r="10523" spans="1:6" hidden="1" x14ac:dyDescent="0.25">
      <c r="A10523" t="s">
        <v>702</v>
      </c>
      <c r="B10523" t="s">
        <v>31</v>
      </c>
      <c r="E10523" s="3">
        <f>HYPERLINK("https://sao.dolgi.msk.ru/account/1404284104/", 1404284104)</f>
        <v>1404284104</v>
      </c>
      <c r="F10523">
        <v>-2796.36</v>
      </c>
    </row>
    <row r="10524" spans="1:6" hidden="1" x14ac:dyDescent="0.25">
      <c r="A10524" t="s">
        <v>702</v>
      </c>
      <c r="B10524" t="s">
        <v>32</v>
      </c>
      <c r="E10524" s="3">
        <f>HYPERLINK("https://sao.dolgi.msk.ru/account/1404285967/", 1404285967)</f>
        <v>1404285967</v>
      </c>
      <c r="F10524">
        <v>-3457.3</v>
      </c>
    </row>
    <row r="10525" spans="1:6" hidden="1" x14ac:dyDescent="0.25">
      <c r="A10525" t="s">
        <v>702</v>
      </c>
      <c r="B10525" t="s">
        <v>33</v>
      </c>
      <c r="E10525" s="3">
        <f>HYPERLINK("https://sao.dolgi.msk.ru/account/1404285959/", 1404285959)</f>
        <v>1404285959</v>
      </c>
      <c r="F10525">
        <v>-1751.76</v>
      </c>
    </row>
    <row r="10526" spans="1:6" hidden="1" x14ac:dyDescent="0.25">
      <c r="A10526" t="s">
        <v>702</v>
      </c>
      <c r="B10526" t="s">
        <v>34</v>
      </c>
      <c r="E10526" s="3">
        <f>HYPERLINK("https://sao.dolgi.msk.ru/account/1404285561/", 1404285561)</f>
        <v>1404285561</v>
      </c>
      <c r="F10526">
        <v>-2352.63</v>
      </c>
    </row>
    <row r="10527" spans="1:6" hidden="1" x14ac:dyDescent="0.25">
      <c r="A10527" t="s">
        <v>702</v>
      </c>
      <c r="B10527" t="s">
        <v>35</v>
      </c>
      <c r="E10527" s="3">
        <f>HYPERLINK("https://sao.dolgi.msk.ru/account/1404285553/", 1404285553)</f>
        <v>1404285553</v>
      </c>
      <c r="F10527">
        <v>-2791.73</v>
      </c>
    </row>
    <row r="10528" spans="1:6" hidden="1" x14ac:dyDescent="0.25">
      <c r="A10528" t="s">
        <v>702</v>
      </c>
      <c r="B10528" t="s">
        <v>36</v>
      </c>
      <c r="E10528" s="3">
        <f>HYPERLINK("https://sao.dolgi.msk.ru/account/1404284235/", 1404284235)</f>
        <v>1404284235</v>
      </c>
      <c r="F10528">
        <v>-3466.55</v>
      </c>
    </row>
    <row r="10529" spans="1:6" hidden="1" x14ac:dyDescent="0.25">
      <c r="A10529" t="s">
        <v>702</v>
      </c>
      <c r="B10529" t="s">
        <v>37</v>
      </c>
      <c r="E10529" s="3">
        <f>HYPERLINK("https://sao.dolgi.msk.ru/account/1404284243/", 1404284243)</f>
        <v>1404284243</v>
      </c>
      <c r="F10529">
        <v>-1756.38</v>
      </c>
    </row>
    <row r="10530" spans="1:6" hidden="1" x14ac:dyDescent="0.25">
      <c r="A10530" t="s">
        <v>702</v>
      </c>
      <c r="B10530" t="s">
        <v>38</v>
      </c>
      <c r="E10530" s="3">
        <f>HYPERLINK("https://sao.dolgi.msk.ru/account/1404285457/", 1404285457)</f>
        <v>1404285457</v>
      </c>
      <c r="F10530">
        <v>-2371.12</v>
      </c>
    </row>
    <row r="10531" spans="1:6" x14ac:dyDescent="0.25">
      <c r="A10531" t="s">
        <v>702</v>
      </c>
      <c r="B10531" t="s">
        <v>39</v>
      </c>
      <c r="C10531" s="5" t="str">
        <f>" кв. "&amp;B10531</f>
        <v xml:space="preserve"> кв. 35</v>
      </c>
      <c r="D10531" s="5" t="str">
        <f>CONCATENATE(A10531,C10531)</f>
        <v>Смольная ул., дом 51 к.3 кв. 35</v>
      </c>
      <c r="E10531" s="3">
        <f>HYPERLINK("https://sao.dolgi.msk.ru/account/1404283769/", 1404283769)</f>
        <v>1404283769</v>
      </c>
      <c r="F10531">
        <v>1910.45</v>
      </c>
    </row>
    <row r="10532" spans="1:6" hidden="1" x14ac:dyDescent="0.25">
      <c r="A10532" t="s">
        <v>702</v>
      </c>
      <c r="B10532" t="s">
        <v>40</v>
      </c>
      <c r="E10532" s="3">
        <f>HYPERLINK("https://sao.dolgi.msk.ru/account/1404283056/", 1404283056)</f>
        <v>1404283056</v>
      </c>
      <c r="F10532">
        <v>-3457.3</v>
      </c>
    </row>
    <row r="10533" spans="1:6" hidden="1" x14ac:dyDescent="0.25">
      <c r="A10533" t="s">
        <v>702</v>
      </c>
      <c r="B10533" t="s">
        <v>41</v>
      </c>
      <c r="E10533" s="3">
        <f>HYPERLINK("https://sao.dolgi.msk.ru/account/1404285051/", 1404285051)</f>
        <v>1404285051</v>
      </c>
      <c r="F10533">
        <v>0</v>
      </c>
    </row>
    <row r="10534" spans="1:6" hidden="1" x14ac:dyDescent="0.25">
      <c r="A10534" t="s">
        <v>702</v>
      </c>
      <c r="B10534" t="s">
        <v>42</v>
      </c>
      <c r="E10534" s="3">
        <f>HYPERLINK("https://sao.dolgi.msk.ru/account/1404285238/", 1404285238)</f>
        <v>1404285238</v>
      </c>
      <c r="F10534">
        <v>0</v>
      </c>
    </row>
    <row r="10535" spans="1:6" hidden="1" x14ac:dyDescent="0.25">
      <c r="A10535" t="s">
        <v>702</v>
      </c>
      <c r="B10535" t="s">
        <v>43</v>
      </c>
      <c r="E10535" s="3">
        <f>HYPERLINK("https://sao.dolgi.msk.ru/account/1404284251/", 1404284251)</f>
        <v>1404284251</v>
      </c>
      <c r="F10535">
        <v>-2800.98</v>
      </c>
    </row>
    <row r="10536" spans="1:6" hidden="1" x14ac:dyDescent="0.25">
      <c r="A10536" t="s">
        <v>702</v>
      </c>
      <c r="B10536" t="s">
        <v>44</v>
      </c>
      <c r="E10536" s="3">
        <f>HYPERLINK("https://sao.dolgi.msk.ru/account/1404285932/", 1404285932)</f>
        <v>1404285932</v>
      </c>
      <c r="F10536">
        <v>-2690.04</v>
      </c>
    </row>
    <row r="10537" spans="1:6" x14ac:dyDescent="0.25">
      <c r="A10537" t="s">
        <v>702</v>
      </c>
      <c r="B10537" t="s">
        <v>45</v>
      </c>
      <c r="C10537" s="5" t="str">
        <f>" кв. "&amp;B10537</f>
        <v xml:space="preserve"> кв. 41</v>
      </c>
      <c r="D10537" s="5" t="str">
        <f>CONCATENATE(A10537,C10537)</f>
        <v>Смольная ул., дом 51 к.3 кв. 41</v>
      </c>
      <c r="E10537" s="3">
        <f>HYPERLINK("https://sao.dolgi.msk.ru/account/1404284673/", 1404284673)</f>
        <v>1404284673</v>
      </c>
      <c r="F10537">
        <v>1201.94</v>
      </c>
    </row>
    <row r="10538" spans="1:6" hidden="1" x14ac:dyDescent="0.25">
      <c r="A10538" t="s">
        <v>702</v>
      </c>
      <c r="B10538" t="s">
        <v>46</v>
      </c>
      <c r="E10538" s="3">
        <f>HYPERLINK("https://sao.dolgi.msk.ru/account/1404283806/", 1404283806)</f>
        <v>1404283806</v>
      </c>
      <c r="F10538">
        <v>-2371.12</v>
      </c>
    </row>
    <row r="10539" spans="1:6" x14ac:dyDescent="0.25">
      <c r="A10539" t="s">
        <v>702</v>
      </c>
      <c r="B10539" t="s">
        <v>47</v>
      </c>
      <c r="C10539" s="5" t="str">
        <f>" кв. "&amp;B10539</f>
        <v xml:space="preserve"> кв. 43</v>
      </c>
      <c r="D10539" s="5" t="str">
        <f>CONCATENATE(A10539,C10539)</f>
        <v>Смольная ул., дом 51 к.3 кв. 43</v>
      </c>
      <c r="E10539" s="3">
        <f>HYPERLINK("https://sao.dolgi.msk.ru/account/1404284681/", 1404284681)</f>
        <v>1404284681</v>
      </c>
      <c r="F10539">
        <v>1913.62</v>
      </c>
    </row>
    <row r="10540" spans="1:6" hidden="1" x14ac:dyDescent="0.25">
      <c r="A10540" t="s">
        <v>702</v>
      </c>
      <c r="B10540" t="s">
        <v>48</v>
      </c>
      <c r="E10540" s="3">
        <f>HYPERLINK("https://sao.dolgi.msk.ru/account/1404284622/", 1404284622)</f>
        <v>1404284622</v>
      </c>
      <c r="F10540">
        <v>-3457.3</v>
      </c>
    </row>
    <row r="10541" spans="1:6" hidden="1" x14ac:dyDescent="0.25">
      <c r="A10541" t="s">
        <v>702</v>
      </c>
      <c r="B10541" t="s">
        <v>49</v>
      </c>
      <c r="E10541" s="3">
        <f>HYPERLINK("https://sao.dolgi.msk.ru/account/1404283064/", 1404283064)</f>
        <v>1404283064</v>
      </c>
      <c r="F10541">
        <v>-1756.38</v>
      </c>
    </row>
    <row r="10542" spans="1:6" hidden="1" x14ac:dyDescent="0.25">
      <c r="A10542" t="s">
        <v>702</v>
      </c>
      <c r="B10542" t="s">
        <v>50</v>
      </c>
      <c r="E10542" s="3">
        <f>HYPERLINK("https://sao.dolgi.msk.ru/account/1404282766/", 1404282766)</f>
        <v>1404282766</v>
      </c>
      <c r="F10542">
        <v>-1474.96</v>
      </c>
    </row>
    <row r="10543" spans="1:6" x14ac:dyDescent="0.25">
      <c r="A10543" t="s">
        <v>702</v>
      </c>
      <c r="B10543" t="s">
        <v>51</v>
      </c>
      <c r="C10543" s="5" t="str">
        <f>" кв. "&amp;B10543</f>
        <v xml:space="preserve"> кв. 47</v>
      </c>
      <c r="D10543" s="5" t="str">
        <f>CONCATENATE(A10543,C10543)</f>
        <v>Смольная ул., дом 51 к.3 кв. 47</v>
      </c>
      <c r="E10543" s="3">
        <f>HYPERLINK("https://sao.dolgi.msk.ru/account/1404285289/", 1404285289)</f>
        <v>1404285289</v>
      </c>
      <c r="F10543">
        <v>1913.62</v>
      </c>
    </row>
    <row r="10544" spans="1:6" hidden="1" x14ac:dyDescent="0.25">
      <c r="A10544" t="s">
        <v>702</v>
      </c>
      <c r="B10544" t="s">
        <v>52</v>
      </c>
      <c r="E10544" s="3">
        <f>HYPERLINK("https://sao.dolgi.msk.ru/account/1404283216/", 1404283216)</f>
        <v>1404283216</v>
      </c>
      <c r="F10544">
        <v>-2911.6</v>
      </c>
    </row>
    <row r="10545" spans="1:6" hidden="1" x14ac:dyDescent="0.25">
      <c r="A10545" t="s">
        <v>702</v>
      </c>
      <c r="B10545" t="s">
        <v>53</v>
      </c>
      <c r="E10545" s="3">
        <f>HYPERLINK("https://sao.dolgi.msk.ru/account/1404284067/", 1404284067)</f>
        <v>1404284067</v>
      </c>
      <c r="F10545">
        <v>-2950.54</v>
      </c>
    </row>
    <row r="10546" spans="1:6" hidden="1" x14ac:dyDescent="0.25">
      <c r="A10546" t="s">
        <v>702</v>
      </c>
      <c r="B10546" t="s">
        <v>54</v>
      </c>
      <c r="E10546" s="3">
        <f>HYPERLINK("https://sao.dolgi.msk.ru/account/1404284833/", 1404284833)</f>
        <v>1404284833</v>
      </c>
      <c r="F10546">
        <v>0</v>
      </c>
    </row>
    <row r="10547" spans="1:6" hidden="1" x14ac:dyDescent="0.25">
      <c r="A10547" t="s">
        <v>702</v>
      </c>
      <c r="B10547" t="s">
        <v>55</v>
      </c>
      <c r="E10547" s="3">
        <f>HYPERLINK("https://sao.dolgi.msk.ru/account/1404284788/", 1404284788)</f>
        <v>1404284788</v>
      </c>
      <c r="F10547">
        <v>-2791.73</v>
      </c>
    </row>
    <row r="10548" spans="1:6" x14ac:dyDescent="0.25">
      <c r="A10548" t="s">
        <v>702</v>
      </c>
      <c r="B10548" t="s">
        <v>56</v>
      </c>
      <c r="C10548" s="5" t="str">
        <f>" кв. "&amp;B10548</f>
        <v xml:space="preserve"> кв. 52</v>
      </c>
      <c r="D10548" s="5" t="str">
        <f>CONCATENATE(A10548,C10548)</f>
        <v>Смольная ул., дом 51 к.3 кв. 52</v>
      </c>
      <c r="E10548" s="3">
        <f>HYPERLINK("https://sao.dolgi.msk.ru/account/1404284665/", 1404284665)</f>
        <v>1404284665</v>
      </c>
      <c r="F10548">
        <v>1837.7</v>
      </c>
    </row>
    <row r="10549" spans="1:6" hidden="1" x14ac:dyDescent="0.25">
      <c r="A10549" t="s">
        <v>702</v>
      </c>
      <c r="B10549" t="s">
        <v>57</v>
      </c>
      <c r="E10549" s="3">
        <f>HYPERLINK("https://sao.dolgi.msk.ru/account/1404285297/", 1404285297)</f>
        <v>1404285297</v>
      </c>
      <c r="F10549">
        <v>0</v>
      </c>
    </row>
    <row r="10550" spans="1:6" hidden="1" x14ac:dyDescent="0.25">
      <c r="A10550" t="s">
        <v>702</v>
      </c>
      <c r="B10550" t="s">
        <v>58</v>
      </c>
      <c r="E10550" s="3">
        <f>HYPERLINK("https://sao.dolgi.msk.ru/account/1404285318/", 1404285318)</f>
        <v>1404285318</v>
      </c>
      <c r="F10550">
        <v>-1613.1</v>
      </c>
    </row>
    <row r="10551" spans="1:6" hidden="1" x14ac:dyDescent="0.25">
      <c r="A10551" t="s">
        <v>702</v>
      </c>
      <c r="B10551" t="s">
        <v>59</v>
      </c>
      <c r="E10551" s="3">
        <f>HYPERLINK("https://sao.dolgi.msk.ru/account/1404283582/", 1404283582)</f>
        <v>1404283582</v>
      </c>
      <c r="F10551">
        <v>-2796.36</v>
      </c>
    </row>
    <row r="10552" spans="1:6" hidden="1" x14ac:dyDescent="0.25">
      <c r="A10552" t="s">
        <v>702</v>
      </c>
      <c r="B10552" t="s">
        <v>60</v>
      </c>
      <c r="E10552" s="3">
        <f>HYPERLINK("https://sao.dolgi.msk.ru/account/1404282694/", 1404282694)</f>
        <v>1404282694</v>
      </c>
      <c r="F10552">
        <v>0</v>
      </c>
    </row>
    <row r="10553" spans="1:6" x14ac:dyDescent="0.25">
      <c r="A10553" t="s">
        <v>702</v>
      </c>
      <c r="B10553" t="s">
        <v>61</v>
      </c>
      <c r="C10553" s="5" t="str">
        <f>" кв. "&amp;B10553</f>
        <v xml:space="preserve"> кв. 57</v>
      </c>
      <c r="D10553" s="5" t="str">
        <f>CONCATENATE(A10553,C10553)</f>
        <v>Смольная ул., дом 51 к.3 кв. 57</v>
      </c>
      <c r="E10553" s="3">
        <f>HYPERLINK("https://sao.dolgi.msk.ru/account/1404285326/", 1404285326)</f>
        <v>1404285326</v>
      </c>
      <c r="F10553">
        <v>1198.78</v>
      </c>
    </row>
    <row r="10554" spans="1:6" hidden="1" x14ac:dyDescent="0.25">
      <c r="A10554" t="s">
        <v>702</v>
      </c>
      <c r="B10554" t="s">
        <v>62</v>
      </c>
      <c r="E10554" s="3">
        <f>HYPERLINK("https://sao.dolgi.msk.ru/account/1404282774/", 1404282774)</f>
        <v>1404282774</v>
      </c>
      <c r="F10554">
        <v>-1183.25</v>
      </c>
    </row>
    <row r="10555" spans="1:6" hidden="1" x14ac:dyDescent="0.25">
      <c r="A10555" t="s">
        <v>702</v>
      </c>
      <c r="B10555" t="s">
        <v>63</v>
      </c>
      <c r="E10555" s="3">
        <f>HYPERLINK("https://sao.dolgi.msk.ru/account/1404284403/", 1404284403)</f>
        <v>1404284403</v>
      </c>
      <c r="F10555">
        <v>0</v>
      </c>
    </row>
    <row r="10556" spans="1:6" hidden="1" x14ac:dyDescent="0.25">
      <c r="A10556" t="s">
        <v>702</v>
      </c>
      <c r="B10556" t="s">
        <v>64</v>
      </c>
      <c r="E10556" s="3">
        <f>HYPERLINK("https://sao.dolgi.msk.ru/account/1404285449/", 1404285449)</f>
        <v>1404285449</v>
      </c>
      <c r="F10556">
        <v>-2881.08</v>
      </c>
    </row>
    <row r="10557" spans="1:6" hidden="1" x14ac:dyDescent="0.25">
      <c r="A10557" t="s">
        <v>702</v>
      </c>
      <c r="B10557" t="s">
        <v>65</v>
      </c>
      <c r="E10557" s="3">
        <f>HYPERLINK("https://sao.dolgi.msk.ru/account/1404285334/", 1404285334)</f>
        <v>1404285334</v>
      </c>
      <c r="F10557">
        <v>-1751.76</v>
      </c>
    </row>
    <row r="10558" spans="1:6" hidden="1" x14ac:dyDescent="0.25">
      <c r="A10558" t="s">
        <v>702</v>
      </c>
      <c r="B10558" t="s">
        <v>66</v>
      </c>
      <c r="E10558" s="3">
        <f>HYPERLINK("https://sao.dolgi.msk.ru/account/1404284841/", 1404284841)</f>
        <v>1404284841</v>
      </c>
      <c r="F10558">
        <v>-1608.48</v>
      </c>
    </row>
    <row r="10559" spans="1:6" hidden="1" x14ac:dyDescent="0.25">
      <c r="A10559" t="s">
        <v>702</v>
      </c>
      <c r="B10559" t="s">
        <v>67</v>
      </c>
      <c r="E10559" s="3">
        <f>HYPERLINK("https://sao.dolgi.msk.ru/account/1404283021/", 1404283021)</f>
        <v>1404283021</v>
      </c>
      <c r="F10559">
        <v>-2791.73</v>
      </c>
    </row>
    <row r="10560" spans="1:6" hidden="1" x14ac:dyDescent="0.25">
      <c r="A10560" t="s">
        <v>702</v>
      </c>
      <c r="B10560" t="s">
        <v>68</v>
      </c>
      <c r="E10560" s="3">
        <f>HYPERLINK("https://sao.dolgi.msk.ru/account/1404284024/", 1404284024)</f>
        <v>1404284024</v>
      </c>
      <c r="F10560">
        <v>-1158.5999999999999</v>
      </c>
    </row>
    <row r="10561" spans="1:6" x14ac:dyDescent="0.25">
      <c r="A10561" t="s">
        <v>702</v>
      </c>
      <c r="B10561" t="s">
        <v>69</v>
      </c>
      <c r="C10561" s="5" t="str">
        <f>" кв. "&amp;B10561</f>
        <v xml:space="preserve"> кв. 65</v>
      </c>
      <c r="D10561" s="5" t="str">
        <f>CONCATENATE(A10561,C10561)</f>
        <v>Смольная ул., дом 51 к.3 кв. 65</v>
      </c>
      <c r="E10561" s="3">
        <f>HYPERLINK("https://sao.dolgi.msk.ru/account/1404282985/", 1404282985)</f>
        <v>1404282985</v>
      </c>
      <c r="F10561">
        <v>1192.45</v>
      </c>
    </row>
    <row r="10562" spans="1:6" hidden="1" x14ac:dyDescent="0.25">
      <c r="A10562" t="s">
        <v>702</v>
      </c>
      <c r="B10562" t="s">
        <v>70</v>
      </c>
      <c r="E10562" s="3">
        <f>HYPERLINK("https://sao.dolgi.msk.ru/account/1404283785/", 1404283785)</f>
        <v>1404283785</v>
      </c>
      <c r="F10562">
        <v>-2371.12</v>
      </c>
    </row>
    <row r="10563" spans="1:6" x14ac:dyDescent="0.25">
      <c r="A10563" t="s">
        <v>702</v>
      </c>
      <c r="B10563" t="s">
        <v>71</v>
      </c>
      <c r="C10563" s="5" t="str">
        <f>" кв. "&amp;B10563</f>
        <v xml:space="preserve"> кв. 67</v>
      </c>
      <c r="D10563" s="5" t="str">
        <f>CONCATENATE(A10563,C10563)</f>
        <v>Смольная ул., дом 51 к.3 кв. 67</v>
      </c>
      <c r="E10563" s="3">
        <f>HYPERLINK("https://sao.dolgi.msk.ru/account/1404285342/", 1404285342)</f>
        <v>1404285342</v>
      </c>
      <c r="F10563">
        <v>1910.45</v>
      </c>
    </row>
    <row r="10564" spans="1:6" hidden="1" x14ac:dyDescent="0.25">
      <c r="A10564" t="s">
        <v>702</v>
      </c>
      <c r="B10564" t="s">
        <v>72</v>
      </c>
      <c r="E10564" s="3">
        <f>HYPERLINK("https://sao.dolgi.msk.ru/account/1404284569/", 1404284569)</f>
        <v>1404284569</v>
      </c>
      <c r="F10564">
        <v>-3040.72</v>
      </c>
    </row>
    <row r="10565" spans="1:6" x14ac:dyDescent="0.25">
      <c r="A10565" t="s">
        <v>702</v>
      </c>
      <c r="B10565" t="s">
        <v>73</v>
      </c>
      <c r="C10565" s="5" t="str">
        <f>" кв. "&amp;B10565</f>
        <v xml:space="preserve"> кв. 69</v>
      </c>
      <c r="D10565" s="5" t="str">
        <f>CONCATENATE(A10565,C10565)</f>
        <v>Смольная ул., дом 51 к.3 кв. 69</v>
      </c>
      <c r="E10565" s="3">
        <f>HYPERLINK("https://sao.dolgi.msk.ru/account/1404284227/", 1404284227)</f>
        <v>1404284227</v>
      </c>
      <c r="F10565">
        <v>1001.7</v>
      </c>
    </row>
    <row r="10566" spans="1:6" hidden="1" x14ac:dyDescent="0.25">
      <c r="A10566" t="s">
        <v>702</v>
      </c>
      <c r="B10566" t="s">
        <v>74</v>
      </c>
      <c r="E10566" s="3">
        <f>HYPERLINK("https://sao.dolgi.msk.ru/account/1404282811/", 1404282811)</f>
        <v>1404282811</v>
      </c>
      <c r="F10566">
        <v>-2162.9</v>
      </c>
    </row>
    <row r="10567" spans="1:6" hidden="1" x14ac:dyDescent="0.25">
      <c r="A10567" t="s">
        <v>702</v>
      </c>
      <c r="B10567" t="s">
        <v>75</v>
      </c>
      <c r="E10567" s="3">
        <f>HYPERLINK("https://sao.dolgi.msk.ru/account/1404284032/", 1404284032)</f>
        <v>1404284032</v>
      </c>
      <c r="F10567">
        <v>-3517.4</v>
      </c>
    </row>
    <row r="10568" spans="1:6" hidden="1" x14ac:dyDescent="0.25">
      <c r="A10568" t="s">
        <v>702</v>
      </c>
      <c r="B10568" t="s">
        <v>76</v>
      </c>
      <c r="E10568" s="3">
        <f>HYPERLINK("https://sao.dolgi.msk.ru/account/1404284286/", 1404284286)</f>
        <v>1404284286</v>
      </c>
      <c r="F10568">
        <v>-1742.51</v>
      </c>
    </row>
    <row r="10569" spans="1:6" x14ac:dyDescent="0.25">
      <c r="A10569" t="s">
        <v>702</v>
      </c>
      <c r="B10569" t="s">
        <v>77</v>
      </c>
      <c r="C10569" s="5" t="str">
        <f>" кв. "&amp;B10569</f>
        <v xml:space="preserve"> кв. 73</v>
      </c>
      <c r="D10569" s="5" t="str">
        <f>CONCATENATE(A10569,C10569)</f>
        <v>Смольная ул., дом 51 к.3 кв. 73</v>
      </c>
      <c r="E10569" s="3">
        <f>HYPERLINK("https://sao.dolgi.msk.ru/account/1404285801/", 1404285801)</f>
        <v>1404285801</v>
      </c>
      <c r="F10569">
        <v>1616.29</v>
      </c>
    </row>
    <row r="10570" spans="1:6" hidden="1" x14ac:dyDescent="0.25">
      <c r="A10570" t="s">
        <v>702</v>
      </c>
      <c r="B10570" t="s">
        <v>78</v>
      </c>
      <c r="E10570" s="3">
        <f>HYPERLINK("https://sao.dolgi.msk.ru/account/1404282918/", 1404282918)</f>
        <v>1404282918</v>
      </c>
      <c r="F10570">
        <v>-1945.9</v>
      </c>
    </row>
    <row r="10571" spans="1:6" hidden="1" x14ac:dyDescent="0.25">
      <c r="A10571" t="s">
        <v>702</v>
      </c>
      <c r="B10571" t="s">
        <v>79</v>
      </c>
      <c r="E10571" s="3">
        <f>HYPERLINK("https://sao.dolgi.msk.ru/account/1404284139/", 1404284139)</f>
        <v>1404284139</v>
      </c>
      <c r="F10571">
        <v>0</v>
      </c>
    </row>
    <row r="10572" spans="1:6" hidden="1" x14ac:dyDescent="0.25">
      <c r="A10572" t="s">
        <v>702</v>
      </c>
      <c r="B10572" t="s">
        <v>79</v>
      </c>
      <c r="E10572" s="3">
        <f>HYPERLINK("https://sao.dolgi.msk.ru/account/1404285844/", 1404285844)</f>
        <v>1404285844</v>
      </c>
      <c r="F10572">
        <v>0</v>
      </c>
    </row>
    <row r="10573" spans="1:6" hidden="1" x14ac:dyDescent="0.25">
      <c r="A10573" t="s">
        <v>702</v>
      </c>
      <c r="B10573" t="s">
        <v>80</v>
      </c>
      <c r="E10573" s="3">
        <f>HYPERLINK("https://sao.dolgi.msk.ru/account/1404285908/", 1404285908)</f>
        <v>1404285908</v>
      </c>
      <c r="F10573">
        <v>-1742.51</v>
      </c>
    </row>
    <row r="10574" spans="1:6" x14ac:dyDescent="0.25">
      <c r="A10574" t="s">
        <v>702</v>
      </c>
      <c r="B10574" t="s">
        <v>81</v>
      </c>
      <c r="C10574" s="5" t="str">
        <f t="shared" ref="C10574:C10575" si="450">" кв. "&amp;B10574</f>
        <v xml:space="preserve"> кв. 77</v>
      </c>
      <c r="D10574" s="5" t="str">
        <f>CONCATENATE(A10574,C10574)</f>
        <v>Смольная ул., дом 51 к.3 кв. 77</v>
      </c>
      <c r="E10574" s="3">
        <f>HYPERLINK("https://sao.dolgi.msk.ru/account/1404282926/", 1404282926)</f>
        <v>1404282926</v>
      </c>
      <c r="F10574">
        <v>955.23</v>
      </c>
    </row>
    <row r="10575" spans="1:6" x14ac:dyDescent="0.25">
      <c r="A10575" t="s">
        <v>702</v>
      </c>
      <c r="B10575" t="s">
        <v>82</v>
      </c>
      <c r="C10575" s="5" t="str">
        <f t="shared" si="450"/>
        <v xml:space="preserve"> кв. 78</v>
      </c>
      <c r="D10575" s="5" t="str">
        <f>CONCATENATE(A10575,C10575)</f>
        <v>Смольная ул., дом 51 к.3 кв. 78</v>
      </c>
      <c r="E10575" s="3">
        <f>HYPERLINK("https://sao.dolgi.msk.ru/account/1404285828/", 1404285828)</f>
        <v>1404285828</v>
      </c>
      <c r="F10575">
        <v>1339.21</v>
      </c>
    </row>
    <row r="10576" spans="1:6" hidden="1" x14ac:dyDescent="0.25">
      <c r="A10576" t="s">
        <v>702</v>
      </c>
      <c r="B10576" t="s">
        <v>83</v>
      </c>
      <c r="E10576" s="3">
        <f>HYPERLINK("https://sao.dolgi.msk.ru/account/1404285836/", 1404285836)</f>
        <v>1404285836</v>
      </c>
      <c r="F10576">
        <v>0</v>
      </c>
    </row>
    <row r="10577" spans="1:6" hidden="1" x14ac:dyDescent="0.25">
      <c r="A10577" t="s">
        <v>702</v>
      </c>
      <c r="B10577" t="s">
        <v>84</v>
      </c>
      <c r="E10577" s="3">
        <f>HYPERLINK("https://sao.dolgi.msk.ru/account/1404283697/", 1404283697)</f>
        <v>1404283697</v>
      </c>
      <c r="F10577">
        <v>-3171.61</v>
      </c>
    </row>
    <row r="10578" spans="1:6" hidden="1" x14ac:dyDescent="0.25">
      <c r="A10578" t="s">
        <v>702</v>
      </c>
      <c r="B10578" t="s">
        <v>85</v>
      </c>
      <c r="E10578" s="3">
        <f>HYPERLINK("https://sao.dolgi.msk.ru/account/1404283312/", 1404283312)</f>
        <v>1404283312</v>
      </c>
      <c r="F10578">
        <v>0</v>
      </c>
    </row>
    <row r="10579" spans="1:6" hidden="1" x14ac:dyDescent="0.25">
      <c r="A10579" t="s">
        <v>702</v>
      </c>
      <c r="B10579" t="s">
        <v>86</v>
      </c>
      <c r="E10579" s="3">
        <f>HYPERLINK("https://sao.dolgi.msk.ru/account/1404283718/", 1404283718)</f>
        <v>1404283718</v>
      </c>
      <c r="F10579">
        <v>-2265.4699999999998</v>
      </c>
    </row>
    <row r="10580" spans="1:6" hidden="1" x14ac:dyDescent="0.25">
      <c r="A10580" t="s">
        <v>702</v>
      </c>
      <c r="B10580" t="s">
        <v>87</v>
      </c>
      <c r="E10580" s="3">
        <f>HYPERLINK("https://sao.dolgi.msk.ru/account/1404283726/", 1404283726)</f>
        <v>1404283726</v>
      </c>
      <c r="F10580">
        <v>-2948.58</v>
      </c>
    </row>
    <row r="10581" spans="1:6" x14ac:dyDescent="0.25">
      <c r="A10581" t="s">
        <v>702</v>
      </c>
      <c r="B10581" t="s">
        <v>88</v>
      </c>
      <c r="C10581" s="5" t="str">
        <f>" кв. "&amp;B10581</f>
        <v xml:space="preserve"> кв. 84</v>
      </c>
      <c r="D10581" s="5" t="str">
        <f>CONCATENATE(A10581,C10581)</f>
        <v>Смольная ул., дом 51 к.3 кв. 84</v>
      </c>
      <c r="E10581" s="3">
        <f>HYPERLINK("https://sao.dolgi.msk.ru/account/1404284112/", 1404284112)</f>
        <v>1404284112</v>
      </c>
      <c r="F10581">
        <v>596.22</v>
      </c>
    </row>
    <row r="10582" spans="1:6" hidden="1" x14ac:dyDescent="0.25">
      <c r="A10582" t="s">
        <v>702</v>
      </c>
      <c r="B10582" t="s">
        <v>89</v>
      </c>
      <c r="E10582" s="3">
        <f>HYPERLINK("https://sao.dolgi.msk.ru/account/1404284147/", 1404284147)</f>
        <v>1404284147</v>
      </c>
      <c r="F10582">
        <v>-2366.5</v>
      </c>
    </row>
    <row r="10583" spans="1:6" x14ac:dyDescent="0.25">
      <c r="A10583" t="s">
        <v>702</v>
      </c>
      <c r="B10583" t="s">
        <v>90</v>
      </c>
      <c r="C10583" s="5" t="str">
        <f>" кв. "&amp;B10583</f>
        <v xml:space="preserve"> кв. 86</v>
      </c>
      <c r="D10583" s="5" t="str">
        <f>CONCATENATE(A10583,C10583)</f>
        <v>Смольная ул., дом 51 к.3 кв. 86</v>
      </c>
      <c r="E10583" s="3">
        <f>HYPERLINK("https://sao.dolgi.msk.ru/account/1404285465/", 1404285465)</f>
        <v>1404285465</v>
      </c>
      <c r="F10583">
        <v>1847.19</v>
      </c>
    </row>
    <row r="10584" spans="1:6" hidden="1" x14ac:dyDescent="0.25">
      <c r="A10584" t="s">
        <v>702</v>
      </c>
      <c r="B10584" t="s">
        <v>91</v>
      </c>
      <c r="E10584" s="3">
        <f>HYPERLINK("https://sao.dolgi.msk.ru/account/1404285158/", 1404285158)</f>
        <v>1404285158</v>
      </c>
      <c r="F10584">
        <v>-3531.25</v>
      </c>
    </row>
    <row r="10585" spans="1:6" hidden="1" x14ac:dyDescent="0.25">
      <c r="A10585" t="s">
        <v>702</v>
      </c>
      <c r="B10585" t="s">
        <v>92</v>
      </c>
      <c r="E10585" s="3">
        <f>HYPERLINK("https://sao.dolgi.msk.ru/account/1404285924/", 1404285924)</f>
        <v>1404285924</v>
      </c>
      <c r="F10585">
        <v>0</v>
      </c>
    </row>
    <row r="10586" spans="1:6" hidden="1" x14ac:dyDescent="0.25">
      <c r="A10586" t="s">
        <v>702</v>
      </c>
      <c r="B10586" t="s">
        <v>93</v>
      </c>
      <c r="E10586" s="3">
        <f>HYPERLINK("https://sao.dolgi.msk.ru/account/1404282934/", 1404282934)</f>
        <v>1404282934</v>
      </c>
      <c r="F10586">
        <v>-1594.61</v>
      </c>
    </row>
    <row r="10587" spans="1:6" hidden="1" x14ac:dyDescent="0.25">
      <c r="A10587" t="s">
        <v>702</v>
      </c>
      <c r="B10587" t="s">
        <v>94</v>
      </c>
      <c r="E10587" s="3">
        <f>HYPERLINK("https://sao.dolgi.msk.ru/account/1404285895/", 1404285895)</f>
        <v>1404285895</v>
      </c>
      <c r="F10587">
        <v>-2713.16</v>
      </c>
    </row>
    <row r="10588" spans="1:6" x14ac:dyDescent="0.25">
      <c r="A10588" t="s">
        <v>702</v>
      </c>
      <c r="B10588" t="s">
        <v>95</v>
      </c>
      <c r="C10588" s="5" t="str">
        <f>" кв. "&amp;B10588</f>
        <v xml:space="preserve"> кв. 91</v>
      </c>
      <c r="D10588" s="5" t="str">
        <f>CONCATENATE(A10588,C10588)</f>
        <v>Смольная ул., дом 51 к.3 кв. 91</v>
      </c>
      <c r="E10588" s="3">
        <f>HYPERLINK("https://sao.dolgi.msk.ru/account/1404283996/", 1404283996)</f>
        <v>1404283996</v>
      </c>
      <c r="F10588">
        <v>2413.37</v>
      </c>
    </row>
    <row r="10589" spans="1:6" hidden="1" x14ac:dyDescent="0.25">
      <c r="A10589" t="s">
        <v>702</v>
      </c>
      <c r="B10589" t="s">
        <v>96</v>
      </c>
      <c r="E10589" s="3">
        <f>HYPERLINK("https://sao.dolgi.msk.ru/account/1404284411/", 1404284411)</f>
        <v>1404284411</v>
      </c>
      <c r="F10589">
        <v>-1747.13</v>
      </c>
    </row>
    <row r="10590" spans="1:6" hidden="1" x14ac:dyDescent="0.25">
      <c r="A10590" t="s">
        <v>702</v>
      </c>
      <c r="B10590" t="s">
        <v>97</v>
      </c>
      <c r="E10590" s="3">
        <f>HYPERLINK("https://sao.dolgi.msk.ru/account/1404284171/", 1404284171)</f>
        <v>1404284171</v>
      </c>
      <c r="F10590">
        <v>-2352.63</v>
      </c>
    </row>
    <row r="10591" spans="1:6" hidden="1" x14ac:dyDescent="0.25">
      <c r="A10591" t="s">
        <v>702</v>
      </c>
      <c r="B10591" t="s">
        <v>98</v>
      </c>
      <c r="E10591" s="3">
        <f>HYPERLINK("https://sao.dolgi.msk.ru/account/1404285481/", 1404285481)</f>
        <v>1404285481</v>
      </c>
      <c r="F10591">
        <v>-1945.9</v>
      </c>
    </row>
    <row r="10592" spans="1:6" hidden="1" x14ac:dyDescent="0.25">
      <c r="A10592" t="s">
        <v>702</v>
      </c>
      <c r="B10592" t="s">
        <v>99</v>
      </c>
      <c r="E10592" s="3">
        <f>HYPERLINK("https://sao.dolgi.msk.ru/account/1404285406/", 1404285406)</f>
        <v>1404285406</v>
      </c>
      <c r="F10592">
        <v>0</v>
      </c>
    </row>
    <row r="10593" spans="1:6" hidden="1" x14ac:dyDescent="0.25">
      <c r="A10593" t="s">
        <v>702</v>
      </c>
      <c r="B10593" t="s">
        <v>100</v>
      </c>
      <c r="E10593" s="3">
        <f>HYPERLINK("https://sao.dolgi.msk.ru/account/1404283777/", 1404283777)</f>
        <v>1404283777</v>
      </c>
      <c r="F10593">
        <v>-1742.51</v>
      </c>
    </row>
    <row r="10594" spans="1:6" hidden="1" x14ac:dyDescent="0.25">
      <c r="A10594" t="s">
        <v>702</v>
      </c>
      <c r="B10594" t="s">
        <v>101</v>
      </c>
      <c r="E10594" s="3">
        <f>HYPERLINK("https://sao.dolgi.msk.ru/account/1404285916/", 1404285916)</f>
        <v>1404285916</v>
      </c>
      <c r="F10594">
        <v>0</v>
      </c>
    </row>
    <row r="10595" spans="1:6" hidden="1" x14ac:dyDescent="0.25">
      <c r="A10595" t="s">
        <v>702</v>
      </c>
      <c r="B10595" t="s">
        <v>102</v>
      </c>
      <c r="E10595" s="3">
        <f>HYPERLINK("https://sao.dolgi.msk.ru/account/1404283371/", 1404283371)</f>
        <v>1404283371</v>
      </c>
      <c r="F10595">
        <v>0</v>
      </c>
    </row>
    <row r="10596" spans="1:6" hidden="1" x14ac:dyDescent="0.25">
      <c r="A10596" t="s">
        <v>702</v>
      </c>
      <c r="B10596" t="s">
        <v>103</v>
      </c>
      <c r="E10596" s="3">
        <f>HYPERLINK("https://sao.dolgi.msk.ru/account/1404284542/", 1404284542)</f>
        <v>1404284542</v>
      </c>
      <c r="F10596">
        <v>-3512.78</v>
      </c>
    </row>
    <row r="10597" spans="1:6" x14ac:dyDescent="0.25">
      <c r="A10597" t="s">
        <v>702</v>
      </c>
      <c r="B10597" t="s">
        <v>104</v>
      </c>
      <c r="C10597" s="5" t="str">
        <f t="shared" ref="C10597:C10598" si="451">" кв. "&amp;B10597</f>
        <v xml:space="preserve"> кв. 100</v>
      </c>
      <c r="D10597" s="5" t="str">
        <f>CONCATENATE(A10597,C10597)</f>
        <v>Смольная ул., дом 51 к.3 кв. 100</v>
      </c>
      <c r="E10597" s="3">
        <f>HYPERLINK("https://sao.dolgi.msk.ru/account/1404283232/", 1404283232)</f>
        <v>1404283232</v>
      </c>
      <c r="F10597">
        <v>1198.78</v>
      </c>
    </row>
    <row r="10598" spans="1:6" x14ac:dyDescent="0.25">
      <c r="A10598" t="s">
        <v>702</v>
      </c>
      <c r="B10598" t="s">
        <v>105</v>
      </c>
      <c r="C10598" s="5" t="str">
        <f t="shared" si="451"/>
        <v xml:space="preserve"> кв. 101</v>
      </c>
      <c r="D10598" s="5" t="str">
        <f>CONCATENATE(A10598,C10598)</f>
        <v>Смольная ул., дом 51 к.3 кв. 101</v>
      </c>
      <c r="E10598" s="3">
        <f>HYPERLINK("https://sao.dolgi.msk.ru/account/1404285385/", 1404285385)</f>
        <v>1404285385</v>
      </c>
      <c r="F10598">
        <v>1622.62</v>
      </c>
    </row>
    <row r="10599" spans="1:6" hidden="1" x14ac:dyDescent="0.25">
      <c r="A10599" t="s">
        <v>702</v>
      </c>
      <c r="B10599" t="s">
        <v>106</v>
      </c>
      <c r="E10599" s="3">
        <f>HYPERLINK("https://sao.dolgi.msk.ru/account/1404282782/", 1404282782)</f>
        <v>1404282782</v>
      </c>
      <c r="F10599">
        <v>-2102.62</v>
      </c>
    </row>
    <row r="10600" spans="1:6" hidden="1" x14ac:dyDescent="0.25">
      <c r="A10600" t="s">
        <v>702</v>
      </c>
      <c r="B10600" t="s">
        <v>107</v>
      </c>
      <c r="E10600" s="3">
        <f>HYPERLINK("https://sao.dolgi.msk.ru/account/1404285609/", 1404285609)</f>
        <v>1404285609</v>
      </c>
      <c r="F10600">
        <v>-3512.78</v>
      </c>
    </row>
    <row r="10601" spans="1:6" hidden="1" x14ac:dyDescent="0.25">
      <c r="A10601" t="s">
        <v>702</v>
      </c>
      <c r="B10601" t="s">
        <v>108</v>
      </c>
      <c r="E10601" s="3">
        <f>HYPERLINK("https://sao.dolgi.msk.ru/account/1404284462/", 1404284462)</f>
        <v>1404284462</v>
      </c>
      <c r="F10601">
        <v>-276.48</v>
      </c>
    </row>
    <row r="10602" spans="1:6" hidden="1" x14ac:dyDescent="0.25">
      <c r="A10602" t="s">
        <v>702</v>
      </c>
      <c r="B10602" t="s">
        <v>109</v>
      </c>
      <c r="E10602" s="3">
        <f>HYPERLINK("https://sao.dolgi.msk.ru/account/1404285721/", 1404285721)</f>
        <v>1404285721</v>
      </c>
      <c r="F10602">
        <v>-1474.96</v>
      </c>
    </row>
    <row r="10603" spans="1:6" x14ac:dyDescent="0.25">
      <c r="A10603" t="s">
        <v>702</v>
      </c>
      <c r="B10603" t="s">
        <v>110</v>
      </c>
      <c r="C10603" s="5" t="str">
        <f>" кв. "&amp;B10603</f>
        <v xml:space="preserve"> кв. 106</v>
      </c>
      <c r="D10603" s="5" t="str">
        <f>CONCATENATE(A10603,C10603)</f>
        <v>Смольная ул., дом 51 к.3 кв. 106</v>
      </c>
      <c r="E10603" s="3">
        <f>HYPERLINK("https://sao.dolgi.msk.ru/account/1404284489/", 1404284489)</f>
        <v>1404284489</v>
      </c>
      <c r="F10603">
        <v>1850.36</v>
      </c>
    </row>
    <row r="10604" spans="1:6" hidden="1" x14ac:dyDescent="0.25">
      <c r="A10604" t="s">
        <v>702</v>
      </c>
      <c r="B10604" t="s">
        <v>111</v>
      </c>
      <c r="E10604" s="3">
        <f>HYPERLINK("https://sao.dolgi.msk.ru/account/1404284497/", 1404284497)</f>
        <v>1404284497</v>
      </c>
      <c r="F10604">
        <v>-1977.4</v>
      </c>
    </row>
    <row r="10605" spans="1:6" x14ac:dyDescent="0.25">
      <c r="A10605" t="s">
        <v>702</v>
      </c>
      <c r="B10605" t="s">
        <v>111</v>
      </c>
      <c r="C10605" s="5" t="str">
        <f>" кв. "&amp;B10605</f>
        <v xml:space="preserve"> кв. 107</v>
      </c>
      <c r="D10605" s="5" t="str">
        <f>CONCATENATE(A10605,C10605)</f>
        <v>Смольная ул., дом 51 к.3 кв. 107</v>
      </c>
      <c r="E10605" s="3">
        <f>HYPERLINK("https://sao.dolgi.msk.ru/account/1404285545/", 1404285545)</f>
        <v>1404285545</v>
      </c>
      <c r="F10605">
        <v>803.4</v>
      </c>
    </row>
    <row r="10606" spans="1:6" hidden="1" x14ac:dyDescent="0.25">
      <c r="A10606" t="s">
        <v>702</v>
      </c>
      <c r="B10606" t="s">
        <v>112</v>
      </c>
      <c r="E10606" s="3">
        <f>HYPERLINK("https://sao.dolgi.msk.ru/account/1404284518/", 1404284518)</f>
        <v>1404284518</v>
      </c>
      <c r="F10606">
        <v>-1751.76</v>
      </c>
    </row>
    <row r="10607" spans="1:6" x14ac:dyDescent="0.25">
      <c r="A10607" t="s">
        <v>702</v>
      </c>
      <c r="B10607" t="s">
        <v>113</v>
      </c>
      <c r="C10607" s="5" t="str">
        <f>" кв. "&amp;B10607</f>
        <v xml:space="preserve"> кв. 109</v>
      </c>
      <c r="D10607" s="5" t="str">
        <f>CONCATENATE(A10607,C10607)</f>
        <v>Смольная ул., дом 51 к.3 кв. 109</v>
      </c>
      <c r="E10607" s="3">
        <f>HYPERLINK("https://sao.dolgi.msk.ru/account/1404284526/", 1404284526)</f>
        <v>1404284526</v>
      </c>
      <c r="F10607">
        <v>1625.78</v>
      </c>
    </row>
    <row r="10608" spans="1:6" hidden="1" x14ac:dyDescent="0.25">
      <c r="A10608" t="s">
        <v>702</v>
      </c>
      <c r="B10608" t="s">
        <v>114</v>
      </c>
      <c r="E10608" s="3">
        <f>HYPERLINK("https://sao.dolgi.msk.ru/account/1404285748/", 1404285748)</f>
        <v>1404285748</v>
      </c>
      <c r="F10608">
        <v>-2699.29</v>
      </c>
    </row>
    <row r="10609" spans="1:6" hidden="1" x14ac:dyDescent="0.25">
      <c r="A10609" t="s">
        <v>702</v>
      </c>
      <c r="B10609" t="s">
        <v>115</v>
      </c>
      <c r="E10609" s="3">
        <f>HYPERLINK("https://sao.dolgi.msk.ru/account/1404283929/", 1404283929)</f>
        <v>1404283929</v>
      </c>
      <c r="F10609">
        <v>0</v>
      </c>
    </row>
    <row r="10610" spans="1:6" hidden="1" x14ac:dyDescent="0.25">
      <c r="A10610" t="s">
        <v>702</v>
      </c>
      <c r="B10610" t="s">
        <v>116</v>
      </c>
      <c r="E10610" s="3">
        <f>HYPERLINK("https://sao.dolgi.msk.ru/account/1404285393/", 1404285393)</f>
        <v>1404285393</v>
      </c>
      <c r="F10610">
        <v>-1756.38</v>
      </c>
    </row>
    <row r="10611" spans="1:6" hidden="1" x14ac:dyDescent="0.25">
      <c r="A10611" t="s">
        <v>702</v>
      </c>
      <c r="B10611" t="s">
        <v>117</v>
      </c>
      <c r="E10611" s="3">
        <f>HYPERLINK("https://sao.dolgi.msk.ru/account/1404284315/", 1404284315)</f>
        <v>1404284315</v>
      </c>
      <c r="F10611">
        <v>-1367.72</v>
      </c>
    </row>
    <row r="10612" spans="1:6" hidden="1" x14ac:dyDescent="0.25">
      <c r="A10612" t="s">
        <v>702</v>
      </c>
      <c r="B10612" t="s">
        <v>118</v>
      </c>
      <c r="E10612" s="3">
        <f>HYPERLINK("https://sao.dolgi.msk.ru/account/1404283937/", 1404283937)</f>
        <v>1404283937</v>
      </c>
      <c r="F10612">
        <v>-2699.29</v>
      </c>
    </row>
    <row r="10613" spans="1:6" hidden="1" x14ac:dyDescent="0.25">
      <c r="A10613" t="s">
        <v>702</v>
      </c>
      <c r="B10613" t="s">
        <v>119</v>
      </c>
      <c r="E10613" s="3">
        <f>HYPERLINK("https://sao.dolgi.msk.ru/account/1404284163/", 1404284163)</f>
        <v>1404284163</v>
      </c>
      <c r="F10613">
        <v>-3517.4</v>
      </c>
    </row>
    <row r="10614" spans="1:6" hidden="1" x14ac:dyDescent="0.25">
      <c r="A10614" t="s">
        <v>702</v>
      </c>
      <c r="B10614" t="s">
        <v>120</v>
      </c>
      <c r="E10614" s="3">
        <f>HYPERLINK("https://sao.dolgi.msk.ru/account/1404283152/", 1404283152)</f>
        <v>1404283152</v>
      </c>
      <c r="F10614">
        <v>-1756.38</v>
      </c>
    </row>
    <row r="10615" spans="1:6" hidden="1" x14ac:dyDescent="0.25">
      <c r="A10615" t="s">
        <v>702</v>
      </c>
      <c r="B10615" t="s">
        <v>121</v>
      </c>
      <c r="E10615" s="3">
        <f>HYPERLINK("https://sao.dolgi.msk.ru/account/1404284323/", 1404284323)</f>
        <v>1404284323</v>
      </c>
      <c r="F10615">
        <v>-2371.12</v>
      </c>
    </row>
    <row r="10616" spans="1:6" x14ac:dyDescent="0.25">
      <c r="A10616" t="s">
        <v>702</v>
      </c>
      <c r="B10616" t="s">
        <v>122</v>
      </c>
      <c r="C10616" s="5" t="str">
        <f>" кв. "&amp;B10616</f>
        <v xml:space="preserve"> кв. 118</v>
      </c>
      <c r="D10616" s="5" t="str">
        <f>CONCATENATE(A10616,C10616)</f>
        <v>Смольная ул., дом 51 к.3 кв. 118</v>
      </c>
      <c r="E10616" s="3">
        <f>HYPERLINK("https://sao.dolgi.msk.ru/account/1404284331/", 1404284331)</f>
        <v>1404284331</v>
      </c>
      <c r="F10616">
        <v>1850.36</v>
      </c>
    </row>
    <row r="10617" spans="1:6" hidden="1" x14ac:dyDescent="0.25">
      <c r="A10617" t="s">
        <v>702</v>
      </c>
      <c r="B10617" t="s">
        <v>123</v>
      </c>
      <c r="E10617" s="3">
        <f>HYPERLINK("https://sao.dolgi.msk.ru/account/1404285588/", 1404285588)</f>
        <v>1404285588</v>
      </c>
      <c r="F10617">
        <v>-3517.38</v>
      </c>
    </row>
    <row r="10618" spans="1:6" hidden="1" x14ac:dyDescent="0.25">
      <c r="A10618" t="s">
        <v>702</v>
      </c>
      <c r="B10618" t="s">
        <v>124</v>
      </c>
      <c r="E10618" s="3">
        <f>HYPERLINK("https://sao.dolgi.msk.ru/account/1404284913/", 1404284913)</f>
        <v>1404284913</v>
      </c>
      <c r="F10618">
        <v>-989.12</v>
      </c>
    </row>
    <row r="10619" spans="1:6" hidden="1" x14ac:dyDescent="0.25">
      <c r="A10619" t="s">
        <v>702</v>
      </c>
      <c r="B10619" t="s">
        <v>125</v>
      </c>
      <c r="E10619" s="3">
        <f>HYPERLINK("https://sao.dolgi.msk.ru/account/1404284059/", 1404284059)</f>
        <v>1404284059</v>
      </c>
      <c r="F10619">
        <v>-1464.19</v>
      </c>
    </row>
    <row r="10620" spans="1:6" hidden="1" x14ac:dyDescent="0.25">
      <c r="A10620" t="s">
        <v>702</v>
      </c>
      <c r="B10620" t="s">
        <v>126</v>
      </c>
      <c r="E10620" s="3">
        <f>HYPERLINK("https://sao.dolgi.msk.ru/account/1404283646/", 1404283646)</f>
        <v>1404283646</v>
      </c>
      <c r="F10620">
        <v>-2703.92</v>
      </c>
    </row>
    <row r="10621" spans="1:6" hidden="1" x14ac:dyDescent="0.25">
      <c r="A10621" t="s">
        <v>702</v>
      </c>
      <c r="B10621" t="s">
        <v>127</v>
      </c>
      <c r="E10621" s="3">
        <f>HYPERLINK("https://sao.dolgi.msk.ru/account/1404284921/", 1404284921)</f>
        <v>1404284921</v>
      </c>
      <c r="F10621">
        <v>-2271.3000000000002</v>
      </c>
    </row>
    <row r="10622" spans="1:6" hidden="1" x14ac:dyDescent="0.25">
      <c r="A10622" t="s">
        <v>702</v>
      </c>
      <c r="B10622" t="s">
        <v>128</v>
      </c>
      <c r="E10622" s="3">
        <f>HYPERLINK("https://sao.dolgi.msk.ru/account/1404285756/", 1404285756)</f>
        <v>1404285756</v>
      </c>
      <c r="F10622">
        <v>-1751.76</v>
      </c>
    </row>
    <row r="10623" spans="1:6" hidden="1" x14ac:dyDescent="0.25">
      <c r="A10623" t="s">
        <v>702</v>
      </c>
      <c r="B10623" t="s">
        <v>129</v>
      </c>
      <c r="E10623" s="3">
        <f>HYPERLINK("https://sao.dolgi.msk.ru/account/1404283259/", 1404283259)</f>
        <v>1404283259</v>
      </c>
      <c r="F10623">
        <v>0</v>
      </c>
    </row>
    <row r="10624" spans="1:6" hidden="1" x14ac:dyDescent="0.25">
      <c r="A10624" t="s">
        <v>702</v>
      </c>
      <c r="B10624" t="s">
        <v>130</v>
      </c>
      <c r="E10624" s="3">
        <f>HYPERLINK("https://sao.dolgi.msk.ru/account/1404284948/", 1404284948)</f>
        <v>1404284948</v>
      </c>
      <c r="F10624">
        <v>-1419.24</v>
      </c>
    </row>
    <row r="10625" spans="1:6" hidden="1" x14ac:dyDescent="0.25">
      <c r="A10625" t="s">
        <v>702</v>
      </c>
      <c r="B10625" t="s">
        <v>131</v>
      </c>
      <c r="E10625" s="3">
        <f>HYPERLINK("https://sao.dolgi.msk.ru/account/1404282803/", 1404282803)</f>
        <v>1404282803</v>
      </c>
      <c r="F10625">
        <v>-3522.01</v>
      </c>
    </row>
    <row r="10626" spans="1:6" x14ac:dyDescent="0.25">
      <c r="A10626" t="s">
        <v>702</v>
      </c>
      <c r="B10626" t="s">
        <v>132</v>
      </c>
      <c r="C10626" s="5" t="str">
        <f t="shared" ref="C10626:C10627" si="452">" кв. "&amp;B10626</f>
        <v xml:space="preserve"> кв. 128</v>
      </c>
      <c r="D10626" s="5" t="str">
        <f>CONCATENATE(A10626,C10626)</f>
        <v>Смольная ул., дом 51 к.3 кв. 128</v>
      </c>
      <c r="E10626" s="3">
        <f>HYPERLINK("https://sao.dolgi.msk.ru/account/1404283283/", 1404283283)</f>
        <v>1404283283</v>
      </c>
      <c r="F10626">
        <v>1201.94</v>
      </c>
    </row>
    <row r="10627" spans="1:6" x14ac:dyDescent="0.25">
      <c r="A10627" t="s">
        <v>702</v>
      </c>
      <c r="B10627" t="s">
        <v>133</v>
      </c>
      <c r="C10627" s="5" t="str">
        <f t="shared" si="452"/>
        <v xml:space="preserve"> кв. 129</v>
      </c>
      <c r="D10627" s="5" t="str">
        <f>CONCATENATE(A10627,C10627)</f>
        <v>Смольная ул., дом 51 к.3 кв. 129</v>
      </c>
      <c r="E10627" s="3">
        <f>HYPERLINK("https://sao.dolgi.msk.ru/account/1404282846/", 1404282846)</f>
        <v>1404282846</v>
      </c>
      <c r="F10627">
        <v>1619.46</v>
      </c>
    </row>
    <row r="10628" spans="1:6" hidden="1" x14ac:dyDescent="0.25">
      <c r="A10628" t="s">
        <v>702</v>
      </c>
      <c r="B10628" t="s">
        <v>134</v>
      </c>
      <c r="E10628" s="3">
        <f>HYPERLINK("https://sao.dolgi.msk.ru/account/1404285887/", 1404285887)</f>
        <v>1404285887</v>
      </c>
      <c r="F10628">
        <v>-2699.29</v>
      </c>
    </row>
    <row r="10629" spans="1:6" hidden="1" x14ac:dyDescent="0.25">
      <c r="A10629" t="s">
        <v>702</v>
      </c>
      <c r="B10629" t="s">
        <v>135</v>
      </c>
      <c r="E10629" s="3">
        <f>HYPERLINK("https://sao.dolgi.msk.ru/account/1404285414/", 1404285414)</f>
        <v>1404285414</v>
      </c>
      <c r="F10629">
        <v>-3535.88</v>
      </c>
    </row>
    <row r="10630" spans="1:6" x14ac:dyDescent="0.25">
      <c r="A10630" t="s">
        <v>702</v>
      </c>
      <c r="B10630" t="s">
        <v>136</v>
      </c>
      <c r="C10630" s="5" t="str">
        <f>" кв. "&amp;B10630</f>
        <v xml:space="preserve"> кв. 132</v>
      </c>
      <c r="D10630" s="5" t="str">
        <f>CONCATENATE(A10630,C10630)</f>
        <v>Смольная ул., дом 51 к.3 кв. 132</v>
      </c>
      <c r="E10630" s="3">
        <f>HYPERLINK("https://sao.dolgi.msk.ru/account/1404284278/", 1404284278)</f>
        <v>1404284278</v>
      </c>
      <c r="F10630">
        <v>1201.94</v>
      </c>
    </row>
    <row r="10631" spans="1:6" hidden="1" x14ac:dyDescent="0.25">
      <c r="A10631" t="s">
        <v>702</v>
      </c>
      <c r="B10631" t="s">
        <v>137</v>
      </c>
      <c r="E10631" s="3">
        <f>HYPERLINK("https://sao.dolgi.msk.ru/account/1404284585/", 1404284585)</f>
        <v>1404284585</v>
      </c>
      <c r="F10631">
        <v>-2371.12</v>
      </c>
    </row>
    <row r="10632" spans="1:6" x14ac:dyDescent="0.25">
      <c r="A10632" t="s">
        <v>702</v>
      </c>
      <c r="B10632" t="s">
        <v>138</v>
      </c>
      <c r="C10632" s="5" t="str">
        <f>" кв. "&amp;B10632</f>
        <v xml:space="preserve"> кв. 134</v>
      </c>
      <c r="D10632" s="5" t="str">
        <f>CONCATENATE(A10632,C10632)</f>
        <v>Смольная ул., дом 51 к.3 кв. 134</v>
      </c>
      <c r="E10632" s="3">
        <f>HYPERLINK("https://sao.dolgi.msk.ru/account/1404285182/", 1404285182)</f>
        <v>1404285182</v>
      </c>
      <c r="F10632">
        <v>1186.1300000000001</v>
      </c>
    </row>
    <row r="10633" spans="1:6" hidden="1" x14ac:dyDescent="0.25">
      <c r="A10633" t="s">
        <v>702</v>
      </c>
      <c r="B10633" t="s">
        <v>139</v>
      </c>
      <c r="E10633" s="3">
        <f>HYPERLINK("https://sao.dolgi.msk.ru/account/1404282897/", 1404282897)</f>
        <v>1404282897</v>
      </c>
      <c r="F10633">
        <v>-2962.63</v>
      </c>
    </row>
    <row r="10634" spans="1:6" hidden="1" x14ac:dyDescent="0.25">
      <c r="A10634" t="s">
        <v>702</v>
      </c>
      <c r="B10634" t="s">
        <v>140</v>
      </c>
      <c r="E10634" s="3">
        <f>HYPERLINK("https://sao.dolgi.msk.ru/account/1404283988/", 1404283988)</f>
        <v>1404283988</v>
      </c>
      <c r="F10634">
        <v>-1553.22</v>
      </c>
    </row>
    <row r="10635" spans="1:6" hidden="1" x14ac:dyDescent="0.25">
      <c r="A10635" t="s">
        <v>702</v>
      </c>
      <c r="B10635" t="s">
        <v>141</v>
      </c>
      <c r="E10635" s="3">
        <f>HYPERLINK("https://sao.dolgi.msk.ru/account/1404284198/", 1404284198)</f>
        <v>1404284198</v>
      </c>
      <c r="F10635">
        <v>-2186.5700000000002</v>
      </c>
    </row>
    <row r="10636" spans="1:6" hidden="1" x14ac:dyDescent="0.25">
      <c r="A10636" t="s">
        <v>702</v>
      </c>
      <c r="B10636" t="s">
        <v>142</v>
      </c>
      <c r="E10636" s="3">
        <f>HYPERLINK("https://sao.dolgi.msk.ru/account/1404283531/", 1404283531)</f>
        <v>1404283531</v>
      </c>
      <c r="F10636">
        <v>-2666.93</v>
      </c>
    </row>
    <row r="10637" spans="1:6" hidden="1" x14ac:dyDescent="0.25">
      <c r="A10637" t="s">
        <v>702</v>
      </c>
      <c r="B10637" t="s">
        <v>143</v>
      </c>
      <c r="E10637" s="3">
        <f>HYPERLINK("https://sao.dolgi.msk.ru/account/1404283638/", 1404283638)</f>
        <v>1404283638</v>
      </c>
      <c r="F10637">
        <v>0</v>
      </c>
    </row>
    <row r="10638" spans="1:6" hidden="1" x14ac:dyDescent="0.25">
      <c r="A10638" t="s">
        <v>702</v>
      </c>
      <c r="B10638" t="s">
        <v>144</v>
      </c>
      <c r="E10638" s="3">
        <f>HYPERLINK("https://sao.dolgi.msk.ru/account/1404285684/", 1404285684)</f>
        <v>1404285684</v>
      </c>
      <c r="F10638">
        <v>0</v>
      </c>
    </row>
    <row r="10639" spans="1:6" hidden="1" x14ac:dyDescent="0.25">
      <c r="A10639" t="s">
        <v>702</v>
      </c>
      <c r="B10639" t="s">
        <v>145</v>
      </c>
      <c r="E10639" s="3">
        <f>HYPERLINK("https://sao.dolgi.msk.ru/account/1404283654/", 1404283654)</f>
        <v>1404283654</v>
      </c>
      <c r="F10639">
        <v>-2787.11</v>
      </c>
    </row>
    <row r="10640" spans="1:6" hidden="1" x14ac:dyDescent="0.25">
      <c r="A10640" t="s">
        <v>702</v>
      </c>
      <c r="B10640" t="s">
        <v>146</v>
      </c>
      <c r="E10640" s="3">
        <f>HYPERLINK("https://sao.dolgi.msk.ru/account/1404285852/", 1404285852)</f>
        <v>1404285852</v>
      </c>
      <c r="F10640">
        <v>-3438.81</v>
      </c>
    </row>
    <row r="10641" spans="1:6" hidden="1" x14ac:dyDescent="0.25">
      <c r="A10641" t="s">
        <v>702</v>
      </c>
      <c r="B10641" t="s">
        <v>147</v>
      </c>
      <c r="E10641" s="3">
        <f>HYPERLINK("https://sao.dolgi.msk.ru/account/1404282993/", 1404282993)</f>
        <v>1404282993</v>
      </c>
      <c r="F10641">
        <v>0</v>
      </c>
    </row>
    <row r="10642" spans="1:6" hidden="1" x14ac:dyDescent="0.25">
      <c r="A10642" t="s">
        <v>702</v>
      </c>
      <c r="B10642" t="s">
        <v>148</v>
      </c>
      <c r="E10642" s="3">
        <f>HYPERLINK("https://sao.dolgi.msk.ru/account/1404285035/", 1404285035)</f>
        <v>1404285035</v>
      </c>
      <c r="F10642">
        <v>-3147.36</v>
      </c>
    </row>
    <row r="10643" spans="1:6" x14ac:dyDescent="0.25">
      <c r="A10643" t="s">
        <v>702</v>
      </c>
      <c r="B10643" t="s">
        <v>149</v>
      </c>
      <c r="C10643" s="5" t="str">
        <f>" кв. "&amp;B10643</f>
        <v xml:space="preserve"> кв. 145</v>
      </c>
      <c r="D10643" s="5" t="str">
        <f>CONCATENATE(A10643,C10643)</f>
        <v>Смольная ул., дом 51 к.3 кв. 145</v>
      </c>
      <c r="E10643" s="3">
        <f>HYPERLINK("https://sao.dolgi.msk.ru/account/1404284593/", 1404284593)</f>
        <v>1404284593</v>
      </c>
      <c r="F10643">
        <v>1050.1199999999999</v>
      </c>
    </row>
    <row r="10644" spans="1:6" hidden="1" x14ac:dyDescent="0.25">
      <c r="A10644" t="s">
        <v>702</v>
      </c>
      <c r="B10644" t="s">
        <v>150</v>
      </c>
      <c r="E10644" s="3">
        <f>HYPERLINK("https://sao.dolgi.msk.ru/account/1404284606/", 1404284606)</f>
        <v>1404284606</v>
      </c>
      <c r="F10644">
        <v>0</v>
      </c>
    </row>
    <row r="10645" spans="1:6" x14ac:dyDescent="0.25">
      <c r="A10645" t="s">
        <v>702</v>
      </c>
      <c r="B10645" t="s">
        <v>151</v>
      </c>
      <c r="C10645" s="5" t="str">
        <f t="shared" ref="C10645:C10646" si="453">" кв. "&amp;B10645</f>
        <v xml:space="preserve"> кв. 147</v>
      </c>
      <c r="D10645" s="5" t="str">
        <f>CONCATENATE(A10645,C10645)</f>
        <v>Смольная ул., дом 51 к.3 кв. 147</v>
      </c>
      <c r="E10645" s="3">
        <f>HYPERLINK("https://sao.dolgi.msk.ru/account/1404284614/", 1404284614)</f>
        <v>1404284614</v>
      </c>
      <c r="F10645">
        <v>1192.45</v>
      </c>
    </row>
    <row r="10646" spans="1:6" x14ac:dyDescent="0.25">
      <c r="A10646" t="s">
        <v>702</v>
      </c>
      <c r="B10646" t="s">
        <v>152</v>
      </c>
      <c r="C10646" s="5" t="str">
        <f t="shared" si="453"/>
        <v xml:space="preserve"> кв. 148</v>
      </c>
      <c r="D10646" s="5" t="str">
        <f>CONCATENATE(A10646,C10646)</f>
        <v>Смольная ул., дом 51 к.3 кв. 148</v>
      </c>
      <c r="E10646" s="3">
        <f>HYPERLINK("https://sao.dolgi.msk.ru/account/1404285879/", 1404285879)</f>
        <v>1404285879</v>
      </c>
      <c r="F10646">
        <v>1613.13</v>
      </c>
    </row>
    <row r="10647" spans="1:6" hidden="1" x14ac:dyDescent="0.25">
      <c r="A10647" t="s">
        <v>702</v>
      </c>
      <c r="B10647" t="s">
        <v>153</v>
      </c>
      <c r="E10647" s="3">
        <f>HYPERLINK("https://sao.dolgi.msk.ru/account/1404285473/", 1404285473)</f>
        <v>1404285473</v>
      </c>
      <c r="F10647">
        <v>-2791.73</v>
      </c>
    </row>
    <row r="10648" spans="1:6" hidden="1" x14ac:dyDescent="0.25">
      <c r="A10648" t="s">
        <v>702</v>
      </c>
      <c r="B10648" t="s">
        <v>154</v>
      </c>
      <c r="E10648" s="3">
        <f>HYPERLINK("https://sao.dolgi.msk.ru/account/1404283566/", 1404283566)</f>
        <v>1404283566</v>
      </c>
      <c r="F10648">
        <v>-3429.57</v>
      </c>
    </row>
    <row r="10649" spans="1:6" hidden="1" x14ac:dyDescent="0.25">
      <c r="A10649" t="s">
        <v>702</v>
      </c>
      <c r="B10649" t="s">
        <v>155</v>
      </c>
      <c r="E10649" s="3">
        <f>HYPERLINK("https://sao.dolgi.msk.ru/account/1404284825/", 1404284825)</f>
        <v>1404284825</v>
      </c>
      <c r="F10649">
        <v>-1742.51</v>
      </c>
    </row>
    <row r="10650" spans="1:6" hidden="1" x14ac:dyDescent="0.25">
      <c r="A10650" t="s">
        <v>702</v>
      </c>
      <c r="B10650" t="s">
        <v>156</v>
      </c>
      <c r="E10650" s="3">
        <f>HYPERLINK("https://sao.dolgi.msk.ru/account/1404285115/", 1404285115)</f>
        <v>1404285115</v>
      </c>
      <c r="F10650">
        <v>-1989.07</v>
      </c>
    </row>
    <row r="10651" spans="1:6" hidden="1" x14ac:dyDescent="0.25">
      <c r="A10651" t="s">
        <v>702</v>
      </c>
      <c r="B10651" t="s">
        <v>157</v>
      </c>
      <c r="E10651" s="3">
        <f>HYPERLINK("https://sao.dolgi.msk.ru/account/1404285123/", 1404285123)</f>
        <v>1404285123</v>
      </c>
      <c r="F10651">
        <v>0</v>
      </c>
    </row>
    <row r="10652" spans="1:6" x14ac:dyDescent="0.25">
      <c r="A10652" t="s">
        <v>702</v>
      </c>
      <c r="B10652" t="s">
        <v>158</v>
      </c>
      <c r="C10652" s="5" t="str">
        <f>" кв. "&amp;B10652</f>
        <v xml:space="preserve"> кв. 154</v>
      </c>
      <c r="D10652" s="5" t="str">
        <f>CONCATENATE(A10652,C10652)</f>
        <v>Смольная ул., дом 51 к.3 кв. 154</v>
      </c>
      <c r="E10652" s="3">
        <f>HYPERLINK("https://sao.dolgi.msk.ru/account/1404285131/", 1404285131)</f>
        <v>1404285131</v>
      </c>
      <c r="F10652">
        <v>2346.9499999999998</v>
      </c>
    </row>
    <row r="10653" spans="1:6" hidden="1" x14ac:dyDescent="0.25">
      <c r="A10653" t="s">
        <v>702</v>
      </c>
      <c r="B10653" t="s">
        <v>159</v>
      </c>
      <c r="E10653" s="3">
        <f>HYPERLINK("https://sao.dolgi.msk.ru/account/1404283451/", 1404283451)</f>
        <v>1404283451</v>
      </c>
      <c r="F10653">
        <v>-1742.51</v>
      </c>
    </row>
    <row r="10654" spans="1:6" hidden="1" x14ac:dyDescent="0.25">
      <c r="A10654" t="s">
        <v>702</v>
      </c>
      <c r="B10654" t="s">
        <v>160</v>
      </c>
      <c r="E10654" s="3">
        <f>HYPERLINK("https://sao.dolgi.msk.ru/account/1404284737/", 1404284737)</f>
        <v>1404284737</v>
      </c>
      <c r="F10654">
        <v>-1178.6199999999999</v>
      </c>
    </row>
    <row r="10655" spans="1:6" x14ac:dyDescent="0.25">
      <c r="A10655" t="s">
        <v>702</v>
      </c>
      <c r="B10655" t="s">
        <v>161</v>
      </c>
      <c r="C10655" s="5" t="str">
        <f>" кв. "&amp;B10655</f>
        <v xml:space="preserve"> кв. 157</v>
      </c>
      <c r="D10655" s="5" t="str">
        <f>CONCATENATE(A10655,C10655)</f>
        <v>Смольная ул., дом 51 к.3 кв. 157</v>
      </c>
      <c r="E10655" s="3">
        <f>HYPERLINK("https://sao.dolgi.msk.ru/account/1404283478/", 1404283478)</f>
        <v>1404283478</v>
      </c>
      <c r="F10655">
        <v>1900.96</v>
      </c>
    </row>
    <row r="10656" spans="1:6" hidden="1" x14ac:dyDescent="0.25">
      <c r="A10656" t="s">
        <v>702</v>
      </c>
      <c r="B10656" t="s">
        <v>162</v>
      </c>
      <c r="E10656" s="3">
        <f>HYPERLINK("https://sao.dolgi.msk.ru/account/1404284358/", 1404284358)</f>
        <v>1404284358</v>
      </c>
      <c r="F10656">
        <v>-2370.25</v>
      </c>
    </row>
    <row r="10657" spans="1:6" x14ac:dyDescent="0.25">
      <c r="A10657" t="s">
        <v>702</v>
      </c>
      <c r="B10657" t="s">
        <v>163</v>
      </c>
      <c r="C10657" s="5" t="str">
        <f>" кв. "&amp;B10657</f>
        <v xml:space="preserve"> кв. 159</v>
      </c>
      <c r="D10657" s="5" t="str">
        <f>CONCATENATE(A10657,C10657)</f>
        <v>Смольная ул., дом 51 к.3 кв. 159</v>
      </c>
      <c r="E10657" s="3">
        <f>HYPERLINK("https://sao.dolgi.msk.ru/account/1404285668/", 1404285668)</f>
        <v>1404285668</v>
      </c>
      <c r="F10657">
        <v>1195.6099999999999</v>
      </c>
    </row>
    <row r="10658" spans="1:6" hidden="1" x14ac:dyDescent="0.25">
      <c r="A10658" t="s">
        <v>702</v>
      </c>
      <c r="B10658" t="s">
        <v>164</v>
      </c>
      <c r="E10658" s="3">
        <f>HYPERLINK("https://sao.dolgi.msk.ru/account/1404283507/", 1404283507)</f>
        <v>1404283507</v>
      </c>
      <c r="F10658">
        <v>-2357.25</v>
      </c>
    </row>
    <row r="10659" spans="1:6" hidden="1" x14ac:dyDescent="0.25">
      <c r="A10659" t="s">
        <v>702</v>
      </c>
      <c r="B10659" t="s">
        <v>165</v>
      </c>
      <c r="E10659" s="3">
        <f>HYPERLINK("https://sao.dolgi.msk.ru/account/1404283945/", 1404283945)</f>
        <v>1404283945</v>
      </c>
      <c r="F10659">
        <v>0</v>
      </c>
    </row>
    <row r="10660" spans="1:6" hidden="1" x14ac:dyDescent="0.25">
      <c r="A10660" t="s">
        <v>702</v>
      </c>
      <c r="B10660" t="s">
        <v>166</v>
      </c>
      <c r="E10660" s="3">
        <f>HYPERLINK("https://sao.dolgi.msk.ru/account/1404284366/", 1404284366)</f>
        <v>1404284366</v>
      </c>
      <c r="F10660">
        <v>-1717.1</v>
      </c>
    </row>
    <row r="10661" spans="1:6" hidden="1" x14ac:dyDescent="0.25">
      <c r="A10661" t="s">
        <v>702</v>
      </c>
      <c r="B10661" t="s">
        <v>167</v>
      </c>
      <c r="E10661" s="3">
        <f>HYPERLINK("https://sao.dolgi.msk.ru/account/1404282707/", 1404282707)</f>
        <v>1404282707</v>
      </c>
      <c r="F10661">
        <v>-1747.13</v>
      </c>
    </row>
    <row r="10662" spans="1:6" hidden="1" x14ac:dyDescent="0.25">
      <c r="A10662" t="s">
        <v>702</v>
      </c>
      <c r="B10662" t="s">
        <v>168</v>
      </c>
      <c r="E10662" s="3">
        <f>HYPERLINK("https://sao.dolgi.msk.ru/account/1404285676/", 1404285676)</f>
        <v>1404285676</v>
      </c>
      <c r="F10662">
        <v>-2357.25</v>
      </c>
    </row>
    <row r="10663" spans="1:6" x14ac:dyDescent="0.25">
      <c r="A10663" t="s">
        <v>702</v>
      </c>
      <c r="B10663" t="s">
        <v>169</v>
      </c>
      <c r="C10663" s="5" t="str">
        <f t="shared" ref="C10663:C10664" si="454">" кв. "&amp;B10663</f>
        <v xml:space="preserve"> кв. 165</v>
      </c>
      <c r="D10663" s="5" t="str">
        <f>CONCATENATE(A10663,C10663)</f>
        <v>Смольная ул., дом 51 к.3 кв. 165</v>
      </c>
      <c r="E10663" s="3">
        <f>HYPERLINK("https://sao.dolgi.msk.ru/account/1404285166/", 1404285166)</f>
        <v>1404285166</v>
      </c>
      <c r="F10663">
        <v>1910.45</v>
      </c>
    </row>
    <row r="10664" spans="1:6" x14ac:dyDescent="0.25">
      <c r="A10664" t="s">
        <v>702</v>
      </c>
      <c r="B10664" t="s">
        <v>170</v>
      </c>
      <c r="C10664" s="5" t="str">
        <f t="shared" si="454"/>
        <v xml:space="preserve"> кв. 166</v>
      </c>
      <c r="D10664" s="5" t="str">
        <f>CONCATENATE(A10664,C10664)</f>
        <v>Смольная ул., дом 51 к.3 кв. 166</v>
      </c>
      <c r="E10664" s="3">
        <f>HYPERLINK("https://sao.dolgi.msk.ru/account/1404283267/", 1404283267)</f>
        <v>1404283267</v>
      </c>
      <c r="F10664">
        <v>1496.1</v>
      </c>
    </row>
    <row r="10665" spans="1:6" hidden="1" x14ac:dyDescent="0.25">
      <c r="A10665" t="s">
        <v>702</v>
      </c>
      <c r="B10665" t="s">
        <v>171</v>
      </c>
      <c r="E10665" s="3">
        <f>HYPERLINK("https://sao.dolgi.msk.ru/account/1404284219/", 1404284219)</f>
        <v>1404284219</v>
      </c>
      <c r="F10665">
        <v>-993.74</v>
      </c>
    </row>
    <row r="10666" spans="1:6" hidden="1" x14ac:dyDescent="0.25">
      <c r="A10666" t="s">
        <v>702</v>
      </c>
      <c r="B10666" t="s">
        <v>172</v>
      </c>
      <c r="E10666" s="3">
        <f>HYPERLINK("https://sao.dolgi.msk.ru/account/1404284796/", 1404284796)</f>
        <v>1404284796</v>
      </c>
      <c r="F10666">
        <v>-2361.87</v>
      </c>
    </row>
    <row r="10667" spans="1:6" hidden="1" x14ac:dyDescent="0.25">
      <c r="A10667" t="s">
        <v>702</v>
      </c>
      <c r="B10667" t="s">
        <v>173</v>
      </c>
      <c r="E10667" s="3">
        <f>HYPERLINK("https://sao.dolgi.msk.ru/account/1404283953/", 1404283953)</f>
        <v>1404283953</v>
      </c>
      <c r="F10667">
        <v>-2787.11</v>
      </c>
    </row>
    <row r="10668" spans="1:6" hidden="1" x14ac:dyDescent="0.25">
      <c r="A10668" t="s">
        <v>702</v>
      </c>
      <c r="B10668" t="s">
        <v>174</v>
      </c>
      <c r="E10668" s="3">
        <f>HYPERLINK("https://sao.dolgi.msk.ru/account/1404283515/", 1404283515)</f>
        <v>1404283515</v>
      </c>
      <c r="F10668">
        <v>-3429.57</v>
      </c>
    </row>
    <row r="10669" spans="1:6" hidden="1" x14ac:dyDescent="0.25">
      <c r="A10669" t="s">
        <v>702</v>
      </c>
      <c r="B10669" t="s">
        <v>175</v>
      </c>
      <c r="E10669" s="3">
        <f>HYPERLINK("https://sao.dolgi.msk.ru/account/1404284809/", 1404284809)</f>
        <v>1404284809</v>
      </c>
      <c r="F10669">
        <v>-993.74</v>
      </c>
    </row>
    <row r="10670" spans="1:6" hidden="1" x14ac:dyDescent="0.25">
      <c r="A10670" t="s">
        <v>702</v>
      </c>
      <c r="B10670" t="s">
        <v>176</v>
      </c>
      <c r="E10670" s="3">
        <f>HYPERLINK("https://sao.dolgi.msk.ru/account/1404283961/", 1404283961)</f>
        <v>1404283961</v>
      </c>
      <c r="F10670">
        <v>-2375.7399999999998</v>
      </c>
    </row>
    <row r="10671" spans="1:6" x14ac:dyDescent="0.25">
      <c r="A10671" t="s">
        <v>702</v>
      </c>
      <c r="B10671" t="s">
        <v>177</v>
      </c>
      <c r="C10671" s="5" t="str">
        <f>" кв. "&amp;B10671</f>
        <v xml:space="preserve"> кв. 173</v>
      </c>
      <c r="D10671" s="5" t="str">
        <f>CONCATENATE(A10671,C10671)</f>
        <v>Смольная ул., дом 51 к.3 кв. 173</v>
      </c>
      <c r="E10671" s="3">
        <f>HYPERLINK("https://sao.dolgi.msk.ru/account/1404283523/", 1404283523)</f>
        <v>1404283523</v>
      </c>
      <c r="F10671">
        <v>1904.13</v>
      </c>
    </row>
    <row r="10672" spans="1:6" hidden="1" x14ac:dyDescent="0.25">
      <c r="A10672" t="s">
        <v>702</v>
      </c>
      <c r="B10672" t="s">
        <v>178</v>
      </c>
      <c r="E10672" s="3">
        <f>HYPERLINK("https://sao.dolgi.msk.ru/account/1404284649/", 1404284649)</f>
        <v>1404284649</v>
      </c>
      <c r="F10672">
        <v>-1167.6199999999999</v>
      </c>
    </row>
    <row r="10673" spans="1:6" hidden="1" x14ac:dyDescent="0.25">
      <c r="A10673" t="s">
        <v>702</v>
      </c>
      <c r="B10673" t="s">
        <v>178</v>
      </c>
      <c r="E10673" s="3">
        <f>HYPERLINK("https://sao.dolgi.msk.ru/account/1404285174/", 1404285174)</f>
        <v>1404285174</v>
      </c>
      <c r="F10673">
        <v>-1386.93</v>
      </c>
    </row>
    <row r="10674" spans="1:6" hidden="1" x14ac:dyDescent="0.25">
      <c r="A10674" t="s">
        <v>702</v>
      </c>
      <c r="B10674" t="s">
        <v>179</v>
      </c>
      <c r="E10674" s="3">
        <f>HYPERLINK("https://sao.dolgi.msk.ru/account/1404285772/", 1404285772)</f>
        <v>1404285772</v>
      </c>
      <c r="F10674">
        <v>-1747.13</v>
      </c>
    </row>
    <row r="10675" spans="1:6" hidden="1" x14ac:dyDescent="0.25">
      <c r="A10675" t="s">
        <v>702</v>
      </c>
      <c r="B10675" t="s">
        <v>180</v>
      </c>
      <c r="E10675" s="3">
        <f>HYPERLINK("https://sao.dolgi.msk.ru/account/1404284956/", 1404284956)</f>
        <v>1404284956</v>
      </c>
      <c r="F10675">
        <v>-1894.24</v>
      </c>
    </row>
    <row r="10676" spans="1:6" hidden="1" x14ac:dyDescent="0.25">
      <c r="A10676" t="s">
        <v>702</v>
      </c>
      <c r="B10676" t="s">
        <v>181</v>
      </c>
      <c r="E10676" s="3">
        <f>HYPERLINK("https://sao.dolgi.msk.ru/account/1404283291/", 1404283291)</f>
        <v>1404283291</v>
      </c>
      <c r="F10676">
        <v>-878.36</v>
      </c>
    </row>
    <row r="10677" spans="1:6" hidden="1" x14ac:dyDescent="0.25">
      <c r="A10677" t="s">
        <v>702</v>
      </c>
      <c r="B10677" t="s">
        <v>182</v>
      </c>
      <c r="E10677" s="3">
        <f>HYPERLINK("https://sao.dolgi.msk.ru/account/1404282854/", 1404282854)</f>
        <v>1404282854</v>
      </c>
      <c r="F10677">
        <v>-2871.4</v>
      </c>
    </row>
    <row r="10678" spans="1:6" x14ac:dyDescent="0.25">
      <c r="A10678" t="s">
        <v>702</v>
      </c>
      <c r="B10678" t="s">
        <v>183</v>
      </c>
      <c r="C10678" s="5" t="str">
        <f>" кв. "&amp;B10678</f>
        <v xml:space="preserve"> кв. 179</v>
      </c>
      <c r="D10678" s="5" t="str">
        <f>CONCATENATE(A10678,C10678)</f>
        <v>Смольная ул., дом 51 к.3 кв. 179</v>
      </c>
      <c r="E10678" s="3">
        <f>HYPERLINK("https://sao.dolgi.msk.ru/account/1404282862/", 1404282862)</f>
        <v>1404282862</v>
      </c>
      <c r="F10678">
        <v>1198.78</v>
      </c>
    </row>
    <row r="10679" spans="1:6" hidden="1" x14ac:dyDescent="0.25">
      <c r="A10679" t="s">
        <v>702</v>
      </c>
      <c r="B10679" t="s">
        <v>184</v>
      </c>
      <c r="E10679" s="3">
        <f>HYPERLINK("https://sao.dolgi.msk.ru/account/1404285799/", 1404285799)</f>
        <v>1404285799</v>
      </c>
      <c r="F10679">
        <v>-1185.55</v>
      </c>
    </row>
    <row r="10680" spans="1:6" hidden="1" x14ac:dyDescent="0.25">
      <c r="A10680" t="s">
        <v>702</v>
      </c>
      <c r="B10680" t="s">
        <v>185</v>
      </c>
      <c r="E10680" s="3">
        <f>HYPERLINK("https://sao.dolgi.msk.ru/account/1404284964/", 1404284964)</f>
        <v>1404284964</v>
      </c>
      <c r="F10680">
        <v>-2029.09</v>
      </c>
    </row>
    <row r="10681" spans="1:6" hidden="1" x14ac:dyDescent="0.25">
      <c r="A10681" t="s">
        <v>702</v>
      </c>
      <c r="B10681" t="s">
        <v>186</v>
      </c>
      <c r="E10681" s="3">
        <f>HYPERLINK("https://sao.dolgi.msk.ru/account/1404284972/", 1404284972)</f>
        <v>1404284972</v>
      </c>
      <c r="F10681">
        <v>-3298.68</v>
      </c>
    </row>
    <row r="10682" spans="1:6" x14ac:dyDescent="0.25">
      <c r="A10682" t="s">
        <v>702</v>
      </c>
      <c r="B10682" t="s">
        <v>187</v>
      </c>
      <c r="C10682" s="5" t="str">
        <f>" кв. "&amp;B10682</f>
        <v xml:space="preserve"> кв. 183</v>
      </c>
      <c r="D10682" s="5" t="str">
        <f>CONCATENATE(A10682,C10682)</f>
        <v>Смольная ул., дом 51 к.3 кв. 183</v>
      </c>
      <c r="E10682" s="3">
        <f>HYPERLINK("https://sao.dolgi.msk.ru/account/1404284999/", 1404284999)</f>
        <v>1404284999</v>
      </c>
      <c r="F10682">
        <v>1198.78</v>
      </c>
    </row>
    <row r="10683" spans="1:6" hidden="1" x14ac:dyDescent="0.25">
      <c r="A10683" t="s">
        <v>702</v>
      </c>
      <c r="B10683" t="s">
        <v>188</v>
      </c>
      <c r="E10683" s="3">
        <f>HYPERLINK("https://sao.dolgi.msk.ru/account/1404284083/", 1404284083)</f>
        <v>1404284083</v>
      </c>
      <c r="F10683">
        <v>-2375.7399999999998</v>
      </c>
    </row>
    <row r="10684" spans="1:6" hidden="1" x14ac:dyDescent="0.25">
      <c r="A10684" t="s">
        <v>702</v>
      </c>
      <c r="B10684" t="s">
        <v>189</v>
      </c>
      <c r="E10684" s="3">
        <f>HYPERLINK("https://sao.dolgi.msk.ru/account/1404285422/", 1404285422)</f>
        <v>1404285422</v>
      </c>
      <c r="F10684">
        <v>0</v>
      </c>
    </row>
    <row r="10685" spans="1:6" hidden="1" x14ac:dyDescent="0.25">
      <c r="A10685" t="s">
        <v>702</v>
      </c>
      <c r="B10685" t="s">
        <v>190</v>
      </c>
      <c r="E10685" s="3">
        <f>HYPERLINK("https://sao.dolgi.msk.ru/account/1404284438/", 1404284438)</f>
        <v>1404284438</v>
      </c>
      <c r="F10685">
        <v>0</v>
      </c>
    </row>
    <row r="10686" spans="1:6" hidden="1" x14ac:dyDescent="0.25">
      <c r="A10686" t="s">
        <v>702</v>
      </c>
      <c r="B10686" t="s">
        <v>191</v>
      </c>
      <c r="E10686" s="3">
        <f>HYPERLINK("https://sao.dolgi.msk.ru/account/1404284729/", 1404284729)</f>
        <v>1404284729</v>
      </c>
      <c r="F10686">
        <v>-1751.76</v>
      </c>
    </row>
    <row r="10687" spans="1:6" x14ac:dyDescent="0.25">
      <c r="A10687" t="s">
        <v>702</v>
      </c>
      <c r="B10687" t="s">
        <v>192</v>
      </c>
      <c r="C10687" s="5" t="str">
        <f>" кв. "&amp;B10687</f>
        <v xml:space="preserve"> кв. 188</v>
      </c>
      <c r="D10687" s="5" t="str">
        <f>CONCATENATE(A10687,C10687)</f>
        <v>Смольная ул., дом 51 к.3 кв. 188</v>
      </c>
      <c r="E10687" s="3">
        <f>HYPERLINK("https://sao.dolgi.msk.ru/account/1404282643/", 1404282643)</f>
        <v>1404282643</v>
      </c>
      <c r="F10687">
        <v>1100.72</v>
      </c>
    </row>
    <row r="10688" spans="1:6" hidden="1" x14ac:dyDescent="0.25">
      <c r="A10688" t="s">
        <v>702</v>
      </c>
      <c r="B10688" t="s">
        <v>193</v>
      </c>
      <c r="E10688" s="3">
        <f>HYPERLINK("https://sao.dolgi.msk.ru/account/1404283443/", 1404283443)</f>
        <v>1404283443</v>
      </c>
      <c r="F10688">
        <v>-2791.73</v>
      </c>
    </row>
    <row r="10689" spans="1:6" x14ac:dyDescent="0.25">
      <c r="A10689" t="s">
        <v>702</v>
      </c>
      <c r="B10689" t="s">
        <v>194</v>
      </c>
      <c r="C10689" s="5" t="str">
        <f>" кв. "&amp;B10689</f>
        <v xml:space="preserve"> кв. 190</v>
      </c>
      <c r="D10689" s="5" t="str">
        <f>CONCATENATE(A10689,C10689)</f>
        <v>Смольная ул., дом 51 к.3 кв. 190</v>
      </c>
      <c r="E10689" s="3">
        <f>HYPERLINK("https://sao.dolgi.msk.ru/account/1404283048/", 1404283048)</f>
        <v>1404283048</v>
      </c>
      <c r="F10689">
        <v>2346.9499999999998</v>
      </c>
    </row>
    <row r="10690" spans="1:6" hidden="1" x14ac:dyDescent="0.25">
      <c r="A10690" t="s">
        <v>702</v>
      </c>
      <c r="B10690" t="s">
        <v>195</v>
      </c>
      <c r="E10690" s="3">
        <f>HYPERLINK("https://sao.dolgi.msk.ru/account/1404284374/", 1404284374)</f>
        <v>1404284374</v>
      </c>
      <c r="F10690">
        <v>-993.74</v>
      </c>
    </row>
    <row r="10691" spans="1:6" x14ac:dyDescent="0.25">
      <c r="A10691" t="s">
        <v>702</v>
      </c>
      <c r="B10691" t="s">
        <v>196</v>
      </c>
      <c r="C10691" s="5" t="str">
        <f t="shared" ref="C10691:C10692" si="455">" кв. "&amp;B10691</f>
        <v xml:space="preserve"> кв. 192</v>
      </c>
      <c r="D10691" s="5" t="str">
        <f>CONCATENATE(A10691,C10691)</f>
        <v>Смольная ул., дом 51 к.3 кв. 192</v>
      </c>
      <c r="E10691" s="3">
        <f>HYPERLINK("https://sao.dolgi.msk.ru/account/1404283849/", 1404283849)</f>
        <v>1404283849</v>
      </c>
      <c r="F10691">
        <v>1622.62</v>
      </c>
    </row>
    <row r="10692" spans="1:6" x14ac:dyDescent="0.25">
      <c r="A10692" t="s">
        <v>702</v>
      </c>
      <c r="B10692" t="s">
        <v>197</v>
      </c>
      <c r="C10692" s="5" t="str">
        <f t="shared" si="455"/>
        <v xml:space="preserve"> кв. 193</v>
      </c>
      <c r="D10692" s="5" t="str">
        <f>CONCATENATE(A10692,C10692)</f>
        <v>Смольная ул., дом 51 к.3 кв. 193</v>
      </c>
      <c r="E10692" s="3">
        <f>HYPERLINK("https://sao.dolgi.msk.ru/account/1404284294/", 1404284294)</f>
        <v>1404284294</v>
      </c>
      <c r="F10692">
        <v>1913.62</v>
      </c>
    </row>
    <row r="10693" spans="1:6" hidden="1" x14ac:dyDescent="0.25">
      <c r="A10693" t="s">
        <v>702</v>
      </c>
      <c r="B10693" t="s">
        <v>198</v>
      </c>
      <c r="E10693" s="3">
        <f>HYPERLINK("https://sao.dolgi.msk.ru/account/1404285107/", 1404285107)</f>
        <v>1404285107</v>
      </c>
      <c r="F10693">
        <v>-3434.19</v>
      </c>
    </row>
    <row r="10694" spans="1:6" hidden="1" x14ac:dyDescent="0.25">
      <c r="A10694" t="s">
        <v>702</v>
      </c>
      <c r="B10694" t="s">
        <v>199</v>
      </c>
      <c r="E10694" s="3">
        <f>HYPERLINK("https://sao.dolgi.msk.ru/account/1404283857/", 1404283857)</f>
        <v>1404283857</v>
      </c>
      <c r="F10694">
        <v>0</v>
      </c>
    </row>
    <row r="10695" spans="1:6" x14ac:dyDescent="0.25">
      <c r="A10695" t="s">
        <v>702</v>
      </c>
      <c r="B10695" t="s">
        <v>200</v>
      </c>
      <c r="C10695" s="5" t="str">
        <f>" кв. "&amp;B10695</f>
        <v xml:space="preserve"> кв. 196</v>
      </c>
      <c r="D10695" s="5" t="str">
        <f>CONCATENATE(A10695,C10695)</f>
        <v>Смольная ул., дом 51 к.3 кв. 196</v>
      </c>
      <c r="E10695" s="3">
        <f>HYPERLINK("https://sao.dolgi.msk.ru/account/1404283865/", 1404283865)</f>
        <v>1404283865</v>
      </c>
      <c r="F10695">
        <v>1628.95</v>
      </c>
    </row>
    <row r="10696" spans="1:6" hidden="1" x14ac:dyDescent="0.25">
      <c r="A10696" t="s">
        <v>702</v>
      </c>
      <c r="B10696" t="s">
        <v>201</v>
      </c>
      <c r="E10696" s="3">
        <f>HYPERLINK("https://sao.dolgi.msk.ru/account/1404282889/", 1404282889)</f>
        <v>1404282889</v>
      </c>
      <c r="F10696">
        <v>-2787.11</v>
      </c>
    </row>
    <row r="10697" spans="1:6" x14ac:dyDescent="0.25">
      <c r="A10697" t="s">
        <v>702</v>
      </c>
      <c r="B10697" t="s">
        <v>202</v>
      </c>
      <c r="C10697" s="5" t="str">
        <f t="shared" ref="C10697:C10698" si="456">" кв. "&amp;B10697</f>
        <v xml:space="preserve"> кв. 198</v>
      </c>
      <c r="D10697" s="5" t="str">
        <f>CONCATENATE(A10697,C10697)</f>
        <v>Смольная ул., дом 51 к.3 кв. 198</v>
      </c>
      <c r="E10697" s="3">
        <f>HYPERLINK("https://sao.dolgi.msk.ru/account/1404284307/", 1404284307)</f>
        <v>1404284307</v>
      </c>
      <c r="F10697">
        <v>2350.11</v>
      </c>
    </row>
    <row r="10698" spans="1:6" x14ac:dyDescent="0.25">
      <c r="A10698" t="s">
        <v>702</v>
      </c>
      <c r="B10698" t="s">
        <v>203</v>
      </c>
      <c r="C10698" s="5" t="str">
        <f t="shared" si="456"/>
        <v xml:space="preserve"> кв. 199</v>
      </c>
      <c r="D10698" s="5" t="str">
        <f>CONCATENATE(A10698,C10698)</f>
        <v>Смольная ул., дом 51 к.3 кв. 199</v>
      </c>
      <c r="E10698" s="3">
        <f>HYPERLINK("https://sao.dolgi.msk.ru/account/1404284091/", 1404284091)</f>
        <v>1404284091</v>
      </c>
      <c r="F10698">
        <v>1198.78</v>
      </c>
    </row>
    <row r="10699" spans="1:6" hidden="1" x14ac:dyDescent="0.25">
      <c r="A10699" t="s">
        <v>702</v>
      </c>
      <c r="B10699" t="s">
        <v>204</v>
      </c>
      <c r="E10699" s="3">
        <f>HYPERLINK("https://sao.dolgi.msk.ru/account/1404283689/", 1404283689)</f>
        <v>1404283689</v>
      </c>
      <c r="F10699">
        <v>-1996.86</v>
      </c>
    </row>
    <row r="10700" spans="1:6" hidden="1" x14ac:dyDescent="0.25">
      <c r="A10700" t="s">
        <v>702</v>
      </c>
      <c r="B10700" t="s">
        <v>205</v>
      </c>
      <c r="E10700" s="3">
        <f>HYPERLINK("https://sao.dolgi.msk.ru/account/1404285502/", 1404285502)</f>
        <v>1404285502</v>
      </c>
      <c r="F10700">
        <v>-2791.73</v>
      </c>
    </row>
    <row r="10701" spans="1:6" hidden="1" x14ac:dyDescent="0.25">
      <c r="A10701" t="s">
        <v>702</v>
      </c>
      <c r="B10701" t="s">
        <v>206</v>
      </c>
      <c r="E10701" s="3">
        <f>HYPERLINK("https://sao.dolgi.msk.ru/account/1404283742/", 1404283742)</f>
        <v>1404283742</v>
      </c>
      <c r="F10701">
        <v>0</v>
      </c>
    </row>
    <row r="10702" spans="1:6" x14ac:dyDescent="0.25">
      <c r="A10702" t="s">
        <v>702</v>
      </c>
      <c r="B10702" t="s">
        <v>207</v>
      </c>
      <c r="C10702" s="5" t="str">
        <f>" кв. "&amp;B10702</f>
        <v xml:space="preserve"> кв. 203</v>
      </c>
      <c r="D10702" s="5" t="str">
        <f>CONCATENATE(A10702,C10702)</f>
        <v>Смольная ул., дом 51 к.3 кв. 203</v>
      </c>
      <c r="E10702" s="3">
        <f>HYPERLINK("https://sao.dolgi.msk.ru/account/1404283013/", 1404283013)</f>
        <v>1404283013</v>
      </c>
      <c r="F10702">
        <v>999.05</v>
      </c>
    </row>
    <row r="10703" spans="1:6" hidden="1" x14ac:dyDescent="0.25">
      <c r="A10703" t="s">
        <v>702</v>
      </c>
      <c r="B10703" t="s">
        <v>208</v>
      </c>
      <c r="E10703" s="3">
        <f>HYPERLINK("https://sao.dolgi.msk.ru/account/1404284745/", 1404284745)</f>
        <v>1404284745</v>
      </c>
      <c r="F10703">
        <v>0</v>
      </c>
    </row>
    <row r="10704" spans="1:6" hidden="1" x14ac:dyDescent="0.25">
      <c r="A10704" t="s">
        <v>702</v>
      </c>
      <c r="B10704" t="s">
        <v>209</v>
      </c>
      <c r="E10704" s="3">
        <f>HYPERLINK("https://sao.dolgi.msk.ru/account/1404285529/", 1404285529)</f>
        <v>1404285529</v>
      </c>
      <c r="F10704">
        <v>-3522.01</v>
      </c>
    </row>
    <row r="10705" spans="1:6" x14ac:dyDescent="0.25">
      <c r="A10705" t="s">
        <v>702</v>
      </c>
      <c r="B10705" t="s">
        <v>210</v>
      </c>
      <c r="C10705" s="5" t="str">
        <f>" кв. "&amp;B10705</f>
        <v xml:space="preserve"> кв. 206</v>
      </c>
      <c r="D10705" s="5" t="str">
        <f>CONCATENATE(A10705,C10705)</f>
        <v>Смольная ул., дом 51 к.3 кв. 206</v>
      </c>
      <c r="E10705" s="3">
        <f>HYPERLINK("https://sao.dolgi.msk.ru/account/1404283881/", 1404283881)</f>
        <v>1404283881</v>
      </c>
      <c r="F10705">
        <v>1192.45</v>
      </c>
    </row>
    <row r="10706" spans="1:6" hidden="1" x14ac:dyDescent="0.25">
      <c r="A10706" t="s">
        <v>702</v>
      </c>
      <c r="B10706" t="s">
        <v>211</v>
      </c>
      <c r="E10706" s="3">
        <f>HYPERLINK("https://sao.dolgi.msk.ru/account/1404285537/", 1404285537)</f>
        <v>1404285537</v>
      </c>
      <c r="F10706">
        <v>-2357.25</v>
      </c>
    </row>
    <row r="10707" spans="1:6" hidden="1" x14ac:dyDescent="0.25">
      <c r="A10707" t="s">
        <v>702</v>
      </c>
      <c r="B10707" t="s">
        <v>212</v>
      </c>
      <c r="E10707" s="3">
        <f>HYPERLINK("https://sao.dolgi.msk.ru/account/1404284657/", 1404284657)</f>
        <v>1404284657</v>
      </c>
      <c r="F10707">
        <v>-2736.26</v>
      </c>
    </row>
    <row r="10708" spans="1:6" hidden="1" x14ac:dyDescent="0.25">
      <c r="A10708" t="s">
        <v>702</v>
      </c>
      <c r="B10708" t="s">
        <v>213</v>
      </c>
      <c r="E10708" s="3">
        <f>HYPERLINK("https://sao.dolgi.msk.ru/account/1404285078/", 1404285078)</f>
        <v>1404285078</v>
      </c>
      <c r="F10708">
        <v>-3526.63</v>
      </c>
    </row>
    <row r="10709" spans="1:6" hidden="1" x14ac:dyDescent="0.25">
      <c r="A10709" t="s">
        <v>702</v>
      </c>
      <c r="B10709" t="s">
        <v>214</v>
      </c>
      <c r="E10709" s="3">
        <f>HYPERLINK("https://sao.dolgi.msk.ru/account/1404285975/", 1404285975)</f>
        <v>1404285975</v>
      </c>
      <c r="F10709">
        <v>0</v>
      </c>
    </row>
    <row r="10710" spans="1:6" x14ac:dyDescent="0.25">
      <c r="A10710" t="s">
        <v>702</v>
      </c>
      <c r="B10710" t="s">
        <v>215</v>
      </c>
      <c r="C10710" s="5" t="str">
        <f>" кв. "&amp;B10710</f>
        <v xml:space="preserve"> кв. 211</v>
      </c>
      <c r="D10710" s="5" t="str">
        <f>CONCATENATE(A10710,C10710)</f>
        <v>Смольная ул., дом 51 к.3 кв. 211</v>
      </c>
      <c r="E10710" s="3">
        <f>HYPERLINK("https://sao.dolgi.msk.ru/account/1404283793/", 1404283793)</f>
        <v>1404283793</v>
      </c>
      <c r="F10710">
        <v>1616.29</v>
      </c>
    </row>
    <row r="10711" spans="1:6" hidden="1" x14ac:dyDescent="0.25">
      <c r="A10711" t="s">
        <v>702</v>
      </c>
      <c r="B10711" t="s">
        <v>216</v>
      </c>
      <c r="E10711" s="3">
        <f>HYPERLINK("https://sao.dolgi.msk.ru/account/1404284702/", 1404284702)</f>
        <v>1404284702</v>
      </c>
      <c r="F10711">
        <v>-2486.29</v>
      </c>
    </row>
    <row r="10712" spans="1:6" hidden="1" x14ac:dyDescent="0.25">
      <c r="A10712" t="s">
        <v>702</v>
      </c>
      <c r="B10712" t="s">
        <v>217</v>
      </c>
      <c r="E10712" s="3">
        <f>HYPERLINK("https://sao.dolgi.msk.ru/account/1404284382/", 1404284382)</f>
        <v>1404284382</v>
      </c>
      <c r="F10712">
        <v>-3517.4</v>
      </c>
    </row>
    <row r="10713" spans="1:6" hidden="1" x14ac:dyDescent="0.25">
      <c r="A10713" t="s">
        <v>702</v>
      </c>
      <c r="B10713" t="s">
        <v>218</v>
      </c>
      <c r="E10713" s="3">
        <f>HYPERLINK("https://sao.dolgi.msk.ru/account/1404285086/", 1404285086)</f>
        <v>1404285086</v>
      </c>
      <c r="F10713">
        <v>-875.87</v>
      </c>
    </row>
    <row r="10714" spans="1:6" hidden="1" x14ac:dyDescent="0.25">
      <c r="A10714" t="s">
        <v>702</v>
      </c>
      <c r="B10714" t="s">
        <v>219</v>
      </c>
      <c r="E10714" s="3">
        <f>HYPERLINK("https://sao.dolgi.msk.ru/account/1404283814/", 1404283814)</f>
        <v>1404283814</v>
      </c>
      <c r="F10714">
        <v>-745.58</v>
      </c>
    </row>
    <row r="10715" spans="1:6" hidden="1" x14ac:dyDescent="0.25">
      <c r="A10715" t="s">
        <v>702</v>
      </c>
      <c r="B10715" t="s">
        <v>220</v>
      </c>
      <c r="E10715" s="3">
        <f>HYPERLINK("https://sao.dolgi.msk.ru/account/1404285094/", 1404285094)</f>
        <v>1404285094</v>
      </c>
      <c r="F10715">
        <v>-862.3</v>
      </c>
    </row>
    <row r="10716" spans="1:6" hidden="1" x14ac:dyDescent="0.25">
      <c r="A10716" t="s">
        <v>702</v>
      </c>
      <c r="B10716" t="s">
        <v>221</v>
      </c>
      <c r="E10716" s="3">
        <f>HYPERLINK("https://sao.dolgi.msk.ru/account/1404283419/", 1404283419)</f>
        <v>1404283419</v>
      </c>
      <c r="F10716">
        <v>-3272.04</v>
      </c>
    </row>
    <row r="10717" spans="1:6" hidden="1" x14ac:dyDescent="0.25">
      <c r="A10717" t="s">
        <v>702</v>
      </c>
      <c r="B10717" t="s">
        <v>222</v>
      </c>
      <c r="E10717" s="3">
        <f>HYPERLINK("https://sao.dolgi.msk.ru/account/1404285983/", 1404285983)</f>
        <v>1404285983</v>
      </c>
      <c r="F10717">
        <v>-949.47</v>
      </c>
    </row>
    <row r="10718" spans="1:6" hidden="1" x14ac:dyDescent="0.25">
      <c r="A10718" t="s">
        <v>702</v>
      </c>
      <c r="B10718" t="s">
        <v>223</v>
      </c>
      <c r="E10718" s="3">
        <f>HYPERLINK("https://sao.dolgi.msk.ru/account/1404283427/", 1404283427)</f>
        <v>1404283427</v>
      </c>
      <c r="F10718">
        <v>-2366.5</v>
      </c>
    </row>
    <row r="10719" spans="1:6" hidden="1" x14ac:dyDescent="0.25">
      <c r="A10719" t="s">
        <v>702</v>
      </c>
      <c r="B10719" t="s">
        <v>224</v>
      </c>
      <c r="E10719" s="3">
        <f>HYPERLINK("https://sao.dolgi.msk.ru/account/1404283435/", 1404283435)</f>
        <v>1404283435</v>
      </c>
      <c r="F10719">
        <v>0</v>
      </c>
    </row>
    <row r="10720" spans="1:6" hidden="1" x14ac:dyDescent="0.25">
      <c r="A10720" t="s">
        <v>702</v>
      </c>
      <c r="B10720" t="s">
        <v>225</v>
      </c>
      <c r="E10720" s="3">
        <f>HYPERLINK("https://sao.dolgi.msk.ru/account/1404284446/", 1404284446)</f>
        <v>1404284446</v>
      </c>
      <c r="F10720">
        <v>-2297.9899999999998</v>
      </c>
    </row>
    <row r="10721" spans="1:6" hidden="1" x14ac:dyDescent="0.25">
      <c r="A10721" t="s">
        <v>702</v>
      </c>
      <c r="B10721" t="s">
        <v>226</v>
      </c>
      <c r="E10721" s="3">
        <f>HYPERLINK("https://sao.dolgi.msk.ru/account/1404284454/", 1404284454)</f>
        <v>1404284454</v>
      </c>
      <c r="F10721">
        <v>-984.49</v>
      </c>
    </row>
    <row r="10722" spans="1:6" hidden="1" x14ac:dyDescent="0.25">
      <c r="A10722" t="s">
        <v>702</v>
      </c>
      <c r="B10722" t="s">
        <v>227</v>
      </c>
      <c r="E10722" s="3">
        <f>HYPERLINK("https://sao.dolgi.msk.ru/account/1404285369/", 1404285369)</f>
        <v>1404285369</v>
      </c>
      <c r="F10722">
        <v>0</v>
      </c>
    </row>
    <row r="10723" spans="1:6" hidden="1" x14ac:dyDescent="0.25">
      <c r="A10723" t="s">
        <v>702</v>
      </c>
      <c r="B10723" t="s">
        <v>228</v>
      </c>
      <c r="E10723" s="3">
        <f>HYPERLINK("https://sao.dolgi.msk.ru/account/1404283603/", 1404283603)</f>
        <v>1404283603</v>
      </c>
      <c r="F10723">
        <v>-2736.26</v>
      </c>
    </row>
    <row r="10724" spans="1:6" hidden="1" x14ac:dyDescent="0.25">
      <c r="A10724" t="s">
        <v>702</v>
      </c>
      <c r="B10724" t="s">
        <v>229</v>
      </c>
      <c r="E10724" s="3">
        <f>HYPERLINK("https://sao.dolgi.msk.ru/account/1404283224/", 1404283224)</f>
        <v>1404283224</v>
      </c>
      <c r="F10724">
        <v>-3522.01</v>
      </c>
    </row>
    <row r="10725" spans="1:6" x14ac:dyDescent="0.25">
      <c r="A10725" t="s">
        <v>702</v>
      </c>
      <c r="B10725" t="s">
        <v>230</v>
      </c>
      <c r="C10725" s="5" t="str">
        <f>" кв. "&amp;B10725</f>
        <v xml:space="preserve"> кв. 226</v>
      </c>
      <c r="D10725" s="5" t="str">
        <f>CONCATENATE(A10725,C10725)</f>
        <v>Смольная ул., дом 51 к.3 кв. 226</v>
      </c>
      <c r="E10725" s="3">
        <f>HYPERLINK("https://sao.dolgi.msk.ru/account/1404284868/", 1404284868)</f>
        <v>1404284868</v>
      </c>
      <c r="F10725">
        <v>1192.45</v>
      </c>
    </row>
    <row r="10726" spans="1:6" hidden="1" x14ac:dyDescent="0.25">
      <c r="A10726" t="s">
        <v>702</v>
      </c>
      <c r="B10726" t="s">
        <v>231</v>
      </c>
      <c r="E10726" s="3">
        <f>HYPERLINK("https://sao.dolgi.msk.ru/account/1404284876/", 1404284876)</f>
        <v>1404284876</v>
      </c>
      <c r="F10726">
        <v>0</v>
      </c>
    </row>
    <row r="10727" spans="1:6" hidden="1" x14ac:dyDescent="0.25">
      <c r="A10727" t="s">
        <v>702</v>
      </c>
      <c r="B10727" t="s">
        <v>232</v>
      </c>
      <c r="E10727" s="3">
        <f>HYPERLINK("https://sao.dolgi.msk.ru/account/1404284884/", 1404284884)</f>
        <v>1404284884</v>
      </c>
      <c r="F10727">
        <v>-2736.25</v>
      </c>
    </row>
    <row r="10728" spans="1:6" hidden="1" x14ac:dyDescent="0.25">
      <c r="A10728" t="s">
        <v>702</v>
      </c>
      <c r="B10728" t="s">
        <v>233</v>
      </c>
      <c r="E10728" s="3">
        <f>HYPERLINK("https://sao.dolgi.msk.ru/account/1404283611/", 1404283611)</f>
        <v>1404283611</v>
      </c>
      <c r="F10728">
        <v>0</v>
      </c>
    </row>
    <row r="10729" spans="1:6" hidden="1" x14ac:dyDescent="0.25">
      <c r="A10729" t="s">
        <v>702</v>
      </c>
      <c r="B10729" t="s">
        <v>234</v>
      </c>
      <c r="E10729" s="3">
        <f>HYPERLINK("https://sao.dolgi.msk.ru/account/1404283398/", 1404283398)</f>
        <v>1404283398</v>
      </c>
      <c r="F10729">
        <v>-1747.13</v>
      </c>
    </row>
    <row r="10730" spans="1:6" hidden="1" x14ac:dyDescent="0.25">
      <c r="A10730" t="s">
        <v>702</v>
      </c>
      <c r="B10730" t="s">
        <v>235</v>
      </c>
      <c r="E10730" s="3">
        <f>HYPERLINK("https://sao.dolgi.msk.ru/account/1404285377/", 1404285377)</f>
        <v>1404285377</v>
      </c>
      <c r="F10730">
        <v>-2357.25</v>
      </c>
    </row>
    <row r="10731" spans="1:6" hidden="1" x14ac:dyDescent="0.25">
      <c r="A10731" t="s">
        <v>702</v>
      </c>
      <c r="B10731" t="s">
        <v>239</v>
      </c>
      <c r="E10731" s="3">
        <f>HYPERLINK("https://sao.dolgi.msk.ru/account/1404284892/", 1404284892)</f>
        <v>1404284892</v>
      </c>
      <c r="F10731">
        <v>0</v>
      </c>
    </row>
    <row r="10732" spans="1:6" hidden="1" x14ac:dyDescent="0.25">
      <c r="A10732" t="s">
        <v>702</v>
      </c>
      <c r="B10732" t="s">
        <v>240</v>
      </c>
      <c r="E10732" s="3">
        <f>HYPERLINK("https://sao.dolgi.msk.ru/account/1404284905/", 1404284905)</f>
        <v>1404284905</v>
      </c>
      <c r="F10732">
        <v>0</v>
      </c>
    </row>
    <row r="10733" spans="1:6" x14ac:dyDescent="0.25">
      <c r="A10733" t="s">
        <v>702</v>
      </c>
      <c r="B10733" t="s">
        <v>241</v>
      </c>
      <c r="C10733" s="5" t="str">
        <f t="shared" ref="C10733:C10734" si="457">" кв. "&amp;B10733</f>
        <v xml:space="preserve"> кв. 234</v>
      </c>
      <c r="D10733" s="5" t="str">
        <f>CONCATENATE(A10733,C10733)</f>
        <v>Смольная ул., дом 51 к.3 кв. 234</v>
      </c>
      <c r="E10733" s="3">
        <f>HYPERLINK("https://sao.dolgi.msk.ru/account/1404285203/", 1404285203)</f>
        <v>1404285203</v>
      </c>
      <c r="F10733">
        <v>1201.94</v>
      </c>
    </row>
    <row r="10734" spans="1:6" x14ac:dyDescent="0.25">
      <c r="A10734" t="s">
        <v>702</v>
      </c>
      <c r="B10734" t="s">
        <v>242</v>
      </c>
      <c r="C10734" s="5" t="str">
        <f t="shared" si="457"/>
        <v xml:space="preserve"> кв. 235</v>
      </c>
      <c r="D10734" s="5" t="str">
        <f>CONCATENATE(A10734,C10734)</f>
        <v>Смольная ул., дом 51 к.3 кв. 235</v>
      </c>
      <c r="E10734" s="3">
        <f>HYPERLINK("https://sao.dolgi.msk.ru/account/1404285211/", 1404285211)</f>
        <v>1404285211</v>
      </c>
      <c r="F10734">
        <v>1622.62</v>
      </c>
    </row>
    <row r="10735" spans="1:6" hidden="1" x14ac:dyDescent="0.25">
      <c r="A10735" t="s">
        <v>702</v>
      </c>
      <c r="B10735" t="s">
        <v>243</v>
      </c>
      <c r="E10735" s="3">
        <f>HYPERLINK("https://sao.dolgi.msk.ru/account/1404283558/", 1404283558)</f>
        <v>1404283558</v>
      </c>
      <c r="F10735">
        <v>-2027.79</v>
      </c>
    </row>
    <row r="10736" spans="1:6" x14ac:dyDescent="0.25">
      <c r="A10736" t="s">
        <v>702</v>
      </c>
      <c r="B10736" t="s">
        <v>244</v>
      </c>
      <c r="C10736" s="5" t="str">
        <f>" кв. "&amp;B10736</f>
        <v xml:space="preserve"> кв. 237</v>
      </c>
      <c r="D10736" s="5" t="str">
        <f>CONCATENATE(A10736,C10736)</f>
        <v>Смольная ул., дом 51 к.3 кв. 237</v>
      </c>
      <c r="E10736" s="3">
        <f>HYPERLINK("https://sao.dolgi.msk.ru/account/1404283005/", 1404283005)</f>
        <v>1404283005</v>
      </c>
      <c r="F10736">
        <v>2407.04</v>
      </c>
    </row>
    <row r="10737" spans="1:6" hidden="1" x14ac:dyDescent="0.25">
      <c r="A10737" t="s">
        <v>702</v>
      </c>
      <c r="B10737" t="s">
        <v>245</v>
      </c>
      <c r="E10737" s="3">
        <f>HYPERLINK("https://sao.dolgi.msk.ru/account/1404284817/", 1404284817)</f>
        <v>1404284817</v>
      </c>
      <c r="F10737">
        <v>-1756.38</v>
      </c>
    </row>
    <row r="10738" spans="1:6" hidden="1" x14ac:dyDescent="0.25">
      <c r="A10738" t="s">
        <v>702</v>
      </c>
      <c r="B10738" t="s">
        <v>246</v>
      </c>
      <c r="E10738" s="3">
        <f>HYPERLINK("https://sao.dolgi.msk.ru/account/1404282715/", 1404282715)</f>
        <v>1404282715</v>
      </c>
      <c r="F10738">
        <v>-2371.12</v>
      </c>
    </row>
    <row r="10739" spans="1:6" x14ac:dyDescent="0.25">
      <c r="A10739" t="s">
        <v>702</v>
      </c>
      <c r="B10739" t="s">
        <v>247</v>
      </c>
      <c r="C10739" s="5" t="str">
        <f>" кв. "&amp;B10739</f>
        <v xml:space="preserve"> кв. 240</v>
      </c>
      <c r="D10739" s="5" t="str">
        <f>CONCATENATE(A10739,C10739)</f>
        <v>Смольная ул., дом 51 к.3 кв. 240</v>
      </c>
      <c r="E10739" s="3">
        <f>HYPERLINK("https://sao.dolgi.msk.ru/account/1404283179/", 1404283179)</f>
        <v>1404283179</v>
      </c>
      <c r="F10739">
        <v>1866.17</v>
      </c>
    </row>
    <row r="10740" spans="1:6" hidden="1" x14ac:dyDescent="0.25">
      <c r="A10740" t="s">
        <v>702</v>
      </c>
      <c r="B10740" t="s">
        <v>248</v>
      </c>
      <c r="E10740" s="3">
        <f>HYPERLINK("https://sao.dolgi.msk.ru/account/1404283355/", 1404283355)</f>
        <v>1404283355</v>
      </c>
      <c r="F10740">
        <v>-3517.4</v>
      </c>
    </row>
    <row r="10741" spans="1:6" hidden="1" x14ac:dyDescent="0.25">
      <c r="A10741" t="s">
        <v>702</v>
      </c>
      <c r="B10741" t="s">
        <v>249</v>
      </c>
      <c r="E10741" s="3">
        <f>HYPERLINK("https://sao.dolgi.msk.ru/account/1404283187/", 1404283187)</f>
        <v>1404283187</v>
      </c>
      <c r="F10741">
        <v>-1751.76</v>
      </c>
    </row>
    <row r="10742" spans="1:6" x14ac:dyDescent="0.25">
      <c r="A10742" t="s">
        <v>702</v>
      </c>
      <c r="B10742" t="s">
        <v>250</v>
      </c>
      <c r="C10742" s="5" t="str">
        <f>" кв. "&amp;B10742</f>
        <v xml:space="preserve"> кв. 243</v>
      </c>
      <c r="D10742" s="5" t="str">
        <f>CONCATENATE(A10742,C10742)</f>
        <v>Смольная ул., дом 51 к.3 кв. 243</v>
      </c>
      <c r="E10742" s="3">
        <f>HYPERLINK("https://sao.dolgi.msk.ru/account/1404283099/", 1404283099)</f>
        <v>1404283099</v>
      </c>
      <c r="F10742">
        <v>1619.46</v>
      </c>
    </row>
    <row r="10743" spans="1:6" hidden="1" x14ac:dyDescent="0.25">
      <c r="A10743" t="s">
        <v>702</v>
      </c>
      <c r="B10743" t="s">
        <v>251</v>
      </c>
      <c r="E10743" s="3">
        <f>HYPERLINK("https://sao.dolgi.msk.ru/account/1404285246/", 1404285246)</f>
        <v>1404285246</v>
      </c>
      <c r="F10743">
        <v>-2736.26</v>
      </c>
    </row>
    <row r="10744" spans="1:6" x14ac:dyDescent="0.25">
      <c r="A10744" t="s">
        <v>702</v>
      </c>
      <c r="B10744" t="s">
        <v>252</v>
      </c>
      <c r="C10744" s="5" t="str">
        <f>" кв. "&amp;B10744</f>
        <v xml:space="preserve"> кв. 245</v>
      </c>
      <c r="D10744" s="5" t="str">
        <f>CONCATENATE(A10744,C10744)</f>
        <v>Смольная ул., дом 51 к.3 кв. 245</v>
      </c>
      <c r="E10744" s="3">
        <f>HYPERLINK("https://sao.dolgi.msk.ru/account/1404283195/", 1404283195)</f>
        <v>1404283195</v>
      </c>
      <c r="F10744">
        <v>2410.21</v>
      </c>
    </row>
    <row r="10745" spans="1:6" hidden="1" x14ac:dyDescent="0.25">
      <c r="A10745" t="s">
        <v>702</v>
      </c>
      <c r="B10745" t="s">
        <v>253</v>
      </c>
      <c r="E10745" s="3">
        <f>HYPERLINK("https://sao.dolgi.msk.ru/account/1404285692/", 1404285692)</f>
        <v>1404285692</v>
      </c>
      <c r="F10745">
        <v>-1756.38</v>
      </c>
    </row>
    <row r="10746" spans="1:6" hidden="1" x14ac:dyDescent="0.25">
      <c r="A10746" t="s">
        <v>702</v>
      </c>
      <c r="B10746" t="s">
        <v>254</v>
      </c>
      <c r="E10746" s="3">
        <f>HYPERLINK("https://sao.dolgi.msk.ru/account/1404283208/", 1404283208)</f>
        <v>1404283208</v>
      </c>
      <c r="F10746">
        <v>0</v>
      </c>
    </row>
    <row r="10747" spans="1:6" hidden="1" x14ac:dyDescent="0.25">
      <c r="A10747" t="s">
        <v>702</v>
      </c>
      <c r="B10747" t="s">
        <v>255</v>
      </c>
      <c r="E10747" s="3">
        <f>HYPERLINK("https://sao.dolgi.msk.ru/account/1404285705/", 1404285705)</f>
        <v>1404285705</v>
      </c>
      <c r="F10747">
        <v>-2731.63</v>
      </c>
    </row>
    <row r="10748" spans="1:6" hidden="1" x14ac:dyDescent="0.25">
      <c r="A10748" t="s">
        <v>702</v>
      </c>
      <c r="B10748" t="s">
        <v>256</v>
      </c>
      <c r="E10748" s="3">
        <f>HYPERLINK("https://sao.dolgi.msk.ru/account/1404284075/", 1404284075)</f>
        <v>1404284075</v>
      </c>
      <c r="F10748">
        <v>-2969.99</v>
      </c>
    </row>
    <row r="10749" spans="1:6" hidden="1" x14ac:dyDescent="0.25">
      <c r="A10749" t="s">
        <v>702</v>
      </c>
      <c r="B10749" t="s">
        <v>257</v>
      </c>
      <c r="E10749" s="3">
        <f>HYPERLINK("https://sao.dolgi.msk.ru/account/1404282723/", 1404282723)</f>
        <v>1404282723</v>
      </c>
      <c r="F10749">
        <v>0</v>
      </c>
    </row>
    <row r="10750" spans="1:6" hidden="1" x14ac:dyDescent="0.25">
      <c r="A10750" t="s">
        <v>702</v>
      </c>
      <c r="B10750" t="s">
        <v>258</v>
      </c>
      <c r="E10750" s="3">
        <f>HYPERLINK("https://sao.dolgi.msk.ru/account/1404282731/", 1404282731)</f>
        <v>1404282731</v>
      </c>
      <c r="F10750">
        <v>0</v>
      </c>
    </row>
    <row r="10751" spans="1:6" hidden="1" x14ac:dyDescent="0.25">
      <c r="A10751" t="s">
        <v>702</v>
      </c>
      <c r="B10751" t="s">
        <v>259</v>
      </c>
      <c r="E10751" s="3">
        <f>HYPERLINK("https://sao.dolgi.msk.ru/account/1404282651/", 1404282651)</f>
        <v>1404282651</v>
      </c>
      <c r="F10751">
        <v>-2740.88</v>
      </c>
    </row>
    <row r="10752" spans="1:6" hidden="1" x14ac:dyDescent="0.25">
      <c r="A10752" t="s">
        <v>702</v>
      </c>
      <c r="B10752" t="s">
        <v>260</v>
      </c>
      <c r="E10752" s="3">
        <f>HYPERLINK("https://sao.dolgi.msk.ru/account/1404285262/", 1404285262)</f>
        <v>1404285262</v>
      </c>
      <c r="F10752">
        <v>-2768.61</v>
      </c>
    </row>
    <row r="10753" spans="1:6" hidden="1" x14ac:dyDescent="0.25">
      <c r="A10753" t="s">
        <v>702</v>
      </c>
      <c r="B10753" t="s">
        <v>261</v>
      </c>
      <c r="E10753" s="3">
        <f>HYPERLINK("https://sao.dolgi.msk.ru/account/1404282678/", 1404282678)</f>
        <v>1404282678</v>
      </c>
      <c r="F10753">
        <v>0</v>
      </c>
    </row>
    <row r="10754" spans="1:6" hidden="1" x14ac:dyDescent="0.25">
      <c r="A10754" t="s">
        <v>702</v>
      </c>
      <c r="B10754" t="s">
        <v>262</v>
      </c>
      <c r="E10754" s="3">
        <f>HYPERLINK("https://sao.dolgi.msk.ru/account/1404283101/", 1404283101)</f>
        <v>1404283101</v>
      </c>
      <c r="F10754">
        <v>-2380.37</v>
      </c>
    </row>
    <row r="10755" spans="1:6" hidden="1" x14ac:dyDescent="0.25">
      <c r="A10755" t="s">
        <v>702</v>
      </c>
      <c r="B10755" t="s">
        <v>263</v>
      </c>
      <c r="E10755" s="3">
        <f>HYPERLINK("https://sao.dolgi.msk.ru/account/1404283128/", 1404283128)</f>
        <v>1404283128</v>
      </c>
      <c r="F10755">
        <v>0</v>
      </c>
    </row>
    <row r="10756" spans="1:6" x14ac:dyDescent="0.25">
      <c r="A10756" t="s">
        <v>702</v>
      </c>
      <c r="B10756" t="s">
        <v>264</v>
      </c>
      <c r="C10756" s="5" t="str">
        <f>" кв. "&amp;B10756</f>
        <v xml:space="preserve"> кв. 257</v>
      </c>
      <c r="D10756" s="5" t="str">
        <f>CONCATENATE(A10756,C10756)</f>
        <v>Смольная ул., дом 51 к.3 кв. 257</v>
      </c>
      <c r="E10756" s="3">
        <f>HYPERLINK("https://sao.dolgi.msk.ru/account/1404285625/", 1404285625)</f>
        <v>1404285625</v>
      </c>
      <c r="F10756">
        <v>1891.47</v>
      </c>
    </row>
    <row r="10757" spans="1:6" hidden="1" x14ac:dyDescent="0.25">
      <c r="A10757" t="s">
        <v>702</v>
      </c>
      <c r="B10757" t="s">
        <v>265</v>
      </c>
      <c r="E10757" s="3">
        <f>HYPERLINK("https://sao.dolgi.msk.ru/account/1404283902/", 1404283902)</f>
        <v>1404283902</v>
      </c>
      <c r="F10757">
        <v>-1756.38</v>
      </c>
    </row>
    <row r="10758" spans="1:6" hidden="1" x14ac:dyDescent="0.25">
      <c r="A10758" t="s">
        <v>702</v>
      </c>
      <c r="B10758" t="s">
        <v>266</v>
      </c>
      <c r="E10758" s="3">
        <f>HYPERLINK("https://sao.dolgi.msk.ru/account/1404283494/", 1404283494)</f>
        <v>1404283494</v>
      </c>
      <c r="F10758">
        <v>-2371.12</v>
      </c>
    </row>
    <row r="10759" spans="1:6" hidden="1" x14ac:dyDescent="0.25">
      <c r="A10759" t="s">
        <v>702</v>
      </c>
      <c r="B10759" t="s">
        <v>267</v>
      </c>
      <c r="E10759" s="3">
        <f>HYPERLINK("https://sao.dolgi.msk.ru/account/1404283822/", 1404283822)</f>
        <v>1404283822</v>
      </c>
      <c r="F10759">
        <v>0</v>
      </c>
    </row>
    <row r="10760" spans="1:6" hidden="1" x14ac:dyDescent="0.25">
      <c r="A10760" t="s">
        <v>702</v>
      </c>
      <c r="B10760" t="s">
        <v>267</v>
      </c>
      <c r="E10760" s="3">
        <f>HYPERLINK("https://sao.dolgi.msk.ru/account/1404284534/", 1404284534)</f>
        <v>1404284534</v>
      </c>
      <c r="F10760">
        <v>0</v>
      </c>
    </row>
    <row r="10761" spans="1:6" hidden="1" x14ac:dyDescent="0.25">
      <c r="A10761" t="s">
        <v>702</v>
      </c>
      <c r="B10761" t="s">
        <v>268</v>
      </c>
      <c r="E10761" s="3">
        <f>HYPERLINK("https://sao.dolgi.msk.ru/account/1404283136/", 1404283136)</f>
        <v>1404283136</v>
      </c>
      <c r="F10761">
        <v>-2972.22</v>
      </c>
    </row>
    <row r="10762" spans="1:6" hidden="1" x14ac:dyDescent="0.25">
      <c r="A10762" t="s">
        <v>702</v>
      </c>
      <c r="B10762" t="s">
        <v>269</v>
      </c>
      <c r="E10762" s="3">
        <f>HYPERLINK("https://sao.dolgi.msk.ru/account/1404283662/", 1404283662)</f>
        <v>1404283662</v>
      </c>
      <c r="F10762">
        <v>-551.52</v>
      </c>
    </row>
    <row r="10763" spans="1:6" hidden="1" x14ac:dyDescent="0.25">
      <c r="A10763" t="s">
        <v>702</v>
      </c>
      <c r="B10763" t="s">
        <v>270</v>
      </c>
      <c r="E10763" s="3">
        <f>HYPERLINK("https://sao.dolgi.msk.ru/account/1404284761/", 1404284761)</f>
        <v>1404284761</v>
      </c>
      <c r="F10763">
        <v>-2375.7399999999998</v>
      </c>
    </row>
    <row r="10764" spans="1:6" hidden="1" x14ac:dyDescent="0.25">
      <c r="A10764" t="s">
        <v>702</v>
      </c>
      <c r="B10764" t="s">
        <v>271</v>
      </c>
      <c r="E10764" s="3">
        <f>HYPERLINK("https://sao.dolgi.msk.ru/account/1404282686/", 1404282686)</f>
        <v>1404282686</v>
      </c>
      <c r="F10764">
        <v>-2731.63</v>
      </c>
    </row>
    <row r="10765" spans="1:6" hidden="1" x14ac:dyDescent="0.25">
      <c r="A10765" t="s">
        <v>702</v>
      </c>
      <c r="B10765" t="s">
        <v>272</v>
      </c>
      <c r="E10765" s="3">
        <f>HYPERLINK("https://sao.dolgi.msk.ru/account/1404285596/", 1404285596)</f>
        <v>1404285596</v>
      </c>
      <c r="F10765">
        <v>-3517.4</v>
      </c>
    </row>
    <row r="10766" spans="1:6" hidden="1" x14ac:dyDescent="0.25">
      <c r="A10766" t="s">
        <v>702</v>
      </c>
      <c r="B10766" t="s">
        <v>273</v>
      </c>
      <c r="E10766" s="3">
        <f>HYPERLINK("https://sao.dolgi.msk.ru/account/1404283486/", 1404283486)</f>
        <v>1404283486</v>
      </c>
      <c r="F10766">
        <v>-1483.04</v>
      </c>
    </row>
    <row r="10767" spans="1:6" hidden="1" x14ac:dyDescent="0.25">
      <c r="A10767" t="s">
        <v>702</v>
      </c>
      <c r="B10767" t="s">
        <v>274</v>
      </c>
      <c r="E10767" s="3">
        <f>HYPERLINK("https://sao.dolgi.msk.ru/account/1404283072/", 1404283072)</f>
        <v>1404283072</v>
      </c>
      <c r="F10767">
        <v>-1992.98</v>
      </c>
    </row>
    <row r="10768" spans="1:6" hidden="1" x14ac:dyDescent="0.25">
      <c r="A10768" t="s">
        <v>702</v>
      </c>
      <c r="B10768" t="s">
        <v>275</v>
      </c>
      <c r="E10768" s="3">
        <f>HYPERLINK("https://sao.dolgi.msk.ru/account/1404283873/", 1404283873)</f>
        <v>1404283873</v>
      </c>
      <c r="F10768">
        <v>-2732.95</v>
      </c>
    </row>
    <row r="10769" spans="1:6" hidden="1" x14ac:dyDescent="0.25">
      <c r="A10769" t="s">
        <v>703</v>
      </c>
      <c r="B10769" t="s">
        <v>5</v>
      </c>
      <c r="E10769" s="3">
        <f>HYPERLINK("https://sao.dolgi.msk.ru/account/1404071205/", 1404071205)</f>
        <v>1404071205</v>
      </c>
      <c r="F10769">
        <v>-7140.08</v>
      </c>
    </row>
    <row r="10770" spans="1:6" x14ac:dyDescent="0.25">
      <c r="A10770" t="s">
        <v>703</v>
      </c>
      <c r="B10770" t="s">
        <v>6</v>
      </c>
      <c r="C10770" s="5" t="str">
        <f>" кв. "&amp;B10770</f>
        <v xml:space="preserve"> кв. 2</v>
      </c>
      <c r="D10770" s="5" t="str">
        <f>CONCATENATE(A10770,C10770)</f>
        <v>Смольная ул., дом 57 к.1 кв. 2</v>
      </c>
      <c r="E10770" s="3">
        <f>HYPERLINK("https://sao.dolgi.msk.ru/account/1404071213/", 1404071213)</f>
        <v>1404071213</v>
      </c>
      <c r="F10770">
        <v>8292.2199999999993</v>
      </c>
    </row>
    <row r="10771" spans="1:6" hidden="1" x14ac:dyDescent="0.25">
      <c r="A10771" t="s">
        <v>703</v>
      </c>
      <c r="B10771" t="s">
        <v>7</v>
      </c>
      <c r="E10771" s="3">
        <f>HYPERLINK("https://sao.dolgi.msk.ru/account/1404133859/", 1404133859)</f>
        <v>1404133859</v>
      </c>
      <c r="F10771">
        <v>-7042.2</v>
      </c>
    </row>
    <row r="10772" spans="1:6" hidden="1" x14ac:dyDescent="0.25">
      <c r="A10772" t="s">
        <v>703</v>
      </c>
      <c r="B10772" t="s">
        <v>8</v>
      </c>
      <c r="E10772" s="3">
        <f>HYPERLINK("https://sao.dolgi.msk.ru/account/1404071301/", 1404071301)</f>
        <v>1404071301</v>
      </c>
      <c r="F10772">
        <v>0</v>
      </c>
    </row>
    <row r="10773" spans="1:6" hidden="1" x14ac:dyDescent="0.25">
      <c r="A10773" t="s">
        <v>703</v>
      </c>
      <c r="B10773" t="s">
        <v>9</v>
      </c>
      <c r="E10773" s="3">
        <f>HYPERLINK("https://sao.dolgi.msk.ru/account/1404071328/", 1404071328)</f>
        <v>1404071328</v>
      </c>
      <c r="F10773">
        <v>-6580.02</v>
      </c>
    </row>
    <row r="10774" spans="1:6" hidden="1" x14ac:dyDescent="0.25">
      <c r="A10774" t="s">
        <v>703</v>
      </c>
      <c r="B10774" t="s">
        <v>10</v>
      </c>
      <c r="E10774" s="3">
        <f>HYPERLINK("https://sao.dolgi.msk.ru/account/1404071299/", 1404071299)</f>
        <v>1404071299</v>
      </c>
      <c r="F10774">
        <v>-689.96</v>
      </c>
    </row>
    <row r="10775" spans="1:6" hidden="1" x14ac:dyDescent="0.25">
      <c r="A10775" t="s">
        <v>703</v>
      </c>
      <c r="B10775" t="s">
        <v>11</v>
      </c>
      <c r="E10775" s="3">
        <f>HYPERLINK("https://sao.dolgi.msk.ru/account/1404071336/", 1404071336)</f>
        <v>1404071336</v>
      </c>
      <c r="F10775">
        <v>-7877.26</v>
      </c>
    </row>
    <row r="10776" spans="1:6" hidden="1" x14ac:dyDescent="0.25">
      <c r="A10776" t="s">
        <v>703</v>
      </c>
      <c r="B10776" t="s">
        <v>12</v>
      </c>
      <c r="E10776" s="3">
        <f>HYPERLINK("https://sao.dolgi.msk.ru/account/1404071344/", 1404071344)</f>
        <v>1404071344</v>
      </c>
      <c r="F10776">
        <v>-5564.88</v>
      </c>
    </row>
    <row r="10777" spans="1:6" hidden="1" x14ac:dyDescent="0.25">
      <c r="A10777" t="s">
        <v>703</v>
      </c>
      <c r="B10777" t="s">
        <v>13</v>
      </c>
      <c r="E10777" s="3">
        <f>HYPERLINK("https://sao.dolgi.msk.ru/account/1404071352/", 1404071352)</f>
        <v>1404071352</v>
      </c>
      <c r="F10777">
        <v>-7691.5</v>
      </c>
    </row>
    <row r="10778" spans="1:6" hidden="1" x14ac:dyDescent="0.25">
      <c r="A10778" t="s">
        <v>703</v>
      </c>
      <c r="B10778" t="s">
        <v>14</v>
      </c>
      <c r="E10778" s="3">
        <f>HYPERLINK("https://sao.dolgi.msk.ru/account/1404071416/", 1404071416)</f>
        <v>1404071416</v>
      </c>
      <c r="F10778">
        <v>-5042.1000000000004</v>
      </c>
    </row>
    <row r="10779" spans="1:6" hidden="1" x14ac:dyDescent="0.25">
      <c r="A10779" t="s">
        <v>703</v>
      </c>
      <c r="B10779" t="s">
        <v>15</v>
      </c>
      <c r="E10779" s="3">
        <f>HYPERLINK("https://sao.dolgi.msk.ru/account/1404071424/", 1404071424)</f>
        <v>1404071424</v>
      </c>
      <c r="F10779">
        <v>-5234.82</v>
      </c>
    </row>
    <row r="10780" spans="1:6" hidden="1" x14ac:dyDescent="0.25">
      <c r="A10780" t="s">
        <v>703</v>
      </c>
      <c r="B10780" t="s">
        <v>16</v>
      </c>
      <c r="E10780" s="3">
        <f>HYPERLINK("https://sao.dolgi.msk.ru/account/1404071467/", 1404071467)</f>
        <v>1404071467</v>
      </c>
      <c r="F10780">
        <v>-6178.11</v>
      </c>
    </row>
    <row r="10781" spans="1:6" hidden="1" x14ac:dyDescent="0.25">
      <c r="A10781" t="s">
        <v>703</v>
      </c>
      <c r="B10781" t="s">
        <v>17</v>
      </c>
      <c r="E10781" s="3">
        <f>HYPERLINK("https://sao.dolgi.msk.ru/account/1404071475/", 1404071475)</f>
        <v>1404071475</v>
      </c>
      <c r="F10781">
        <v>0</v>
      </c>
    </row>
    <row r="10782" spans="1:6" hidden="1" x14ac:dyDescent="0.25">
      <c r="A10782" t="s">
        <v>703</v>
      </c>
      <c r="B10782" t="s">
        <v>18</v>
      </c>
      <c r="E10782" s="3">
        <f>HYPERLINK("https://sao.dolgi.msk.ru/account/1404071491/", 1404071491)</f>
        <v>1404071491</v>
      </c>
      <c r="F10782">
        <v>-4853.92</v>
      </c>
    </row>
    <row r="10783" spans="1:6" hidden="1" x14ac:dyDescent="0.25">
      <c r="A10783" t="s">
        <v>703</v>
      </c>
      <c r="B10783" t="s">
        <v>19</v>
      </c>
      <c r="E10783" s="3">
        <f>HYPERLINK("https://sao.dolgi.msk.ru/account/1404071512/", 1404071512)</f>
        <v>1404071512</v>
      </c>
      <c r="F10783">
        <v>-5409.2</v>
      </c>
    </row>
    <row r="10784" spans="1:6" hidden="1" x14ac:dyDescent="0.25">
      <c r="A10784" t="s">
        <v>703</v>
      </c>
      <c r="B10784" t="s">
        <v>20</v>
      </c>
      <c r="E10784" s="3">
        <f>HYPERLINK("https://sao.dolgi.msk.ru/account/1404071547/", 1404071547)</f>
        <v>1404071547</v>
      </c>
      <c r="F10784">
        <v>0</v>
      </c>
    </row>
    <row r="10785" spans="1:6" hidden="1" x14ac:dyDescent="0.25">
      <c r="A10785" t="s">
        <v>703</v>
      </c>
      <c r="B10785" t="s">
        <v>21</v>
      </c>
      <c r="E10785" s="3">
        <f>HYPERLINK("https://sao.dolgi.msk.ru/account/1404071555/", 1404071555)</f>
        <v>1404071555</v>
      </c>
      <c r="F10785">
        <v>-7048.25</v>
      </c>
    </row>
    <row r="10786" spans="1:6" hidden="1" x14ac:dyDescent="0.25">
      <c r="A10786" t="s">
        <v>703</v>
      </c>
      <c r="B10786" t="s">
        <v>22</v>
      </c>
      <c r="E10786" s="3">
        <f>HYPERLINK("https://sao.dolgi.msk.ru/account/1404071571/", 1404071571)</f>
        <v>1404071571</v>
      </c>
      <c r="F10786">
        <v>0</v>
      </c>
    </row>
    <row r="10787" spans="1:6" x14ac:dyDescent="0.25">
      <c r="A10787" t="s">
        <v>703</v>
      </c>
      <c r="B10787" t="s">
        <v>23</v>
      </c>
      <c r="C10787" s="5" t="str">
        <f>" кв. "&amp;B10787</f>
        <v xml:space="preserve"> кв. 19</v>
      </c>
      <c r="D10787" s="5" t="str">
        <f>CONCATENATE(A10787,C10787)</f>
        <v>Смольная ул., дом 57 к.1 кв. 19</v>
      </c>
      <c r="E10787" s="3">
        <f>HYPERLINK("https://sao.dolgi.msk.ru/account/1404071598/", 1404071598)</f>
        <v>1404071598</v>
      </c>
      <c r="F10787">
        <v>20.2</v>
      </c>
    </row>
    <row r="10788" spans="1:6" hidden="1" x14ac:dyDescent="0.25">
      <c r="A10788" t="s">
        <v>703</v>
      </c>
      <c r="B10788" t="s">
        <v>24</v>
      </c>
      <c r="E10788" s="3">
        <f>HYPERLINK("https://sao.dolgi.msk.ru/account/1404071627/", 1404071627)</f>
        <v>1404071627</v>
      </c>
      <c r="F10788">
        <v>-6751.28</v>
      </c>
    </row>
    <row r="10789" spans="1:6" hidden="1" x14ac:dyDescent="0.25">
      <c r="A10789" t="s">
        <v>703</v>
      </c>
      <c r="B10789" t="s">
        <v>25</v>
      </c>
      <c r="E10789" s="3">
        <f>HYPERLINK("https://sao.dolgi.msk.ru/account/1404071643/", 1404071643)</f>
        <v>1404071643</v>
      </c>
      <c r="F10789">
        <v>-7473.05</v>
      </c>
    </row>
    <row r="10790" spans="1:6" hidden="1" x14ac:dyDescent="0.25">
      <c r="A10790" t="s">
        <v>703</v>
      </c>
      <c r="B10790" t="s">
        <v>26</v>
      </c>
      <c r="E10790" s="3">
        <f>HYPERLINK("https://sao.dolgi.msk.ru/account/1404071651/", 1404071651)</f>
        <v>1404071651</v>
      </c>
      <c r="F10790">
        <v>-1054.5899999999999</v>
      </c>
    </row>
    <row r="10791" spans="1:6" hidden="1" x14ac:dyDescent="0.25">
      <c r="A10791" t="s">
        <v>703</v>
      </c>
      <c r="B10791" t="s">
        <v>27</v>
      </c>
      <c r="E10791" s="3">
        <f>HYPERLINK("https://sao.dolgi.msk.ru/account/1404071686/", 1404071686)</f>
        <v>1404071686</v>
      </c>
      <c r="F10791">
        <v>-7305.21</v>
      </c>
    </row>
    <row r="10792" spans="1:6" hidden="1" x14ac:dyDescent="0.25">
      <c r="A10792" t="s">
        <v>703</v>
      </c>
      <c r="B10792" t="s">
        <v>28</v>
      </c>
      <c r="E10792" s="3">
        <f>HYPERLINK("https://sao.dolgi.msk.ru/account/1404071694/", 1404071694)</f>
        <v>1404071694</v>
      </c>
      <c r="F10792">
        <v>-5538.29</v>
      </c>
    </row>
    <row r="10793" spans="1:6" hidden="1" x14ac:dyDescent="0.25">
      <c r="A10793" t="s">
        <v>703</v>
      </c>
      <c r="B10793" t="s">
        <v>29</v>
      </c>
      <c r="E10793" s="3">
        <f>HYPERLINK("https://sao.dolgi.msk.ru/account/1404071715/", 1404071715)</f>
        <v>1404071715</v>
      </c>
      <c r="F10793">
        <v>-5171.1899999999996</v>
      </c>
    </row>
    <row r="10794" spans="1:6" hidden="1" x14ac:dyDescent="0.25">
      <c r="A10794" t="s">
        <v>703</v>
      </c>
      <c r="B10794" t="s">
        <v>30</v>
      </c>
      <c r="E10794" s="3">
        <f>HYPERLINK("https://sao.dolgi.msk.ru/account/1404071723/", 1404071723)</f>
        <v>1404071723</v>
      </c>
      <c r="F10794">
        <v>-5642.99</v>
      </c>
    </row>
    <row r="10795" spans="1:6" hidden="1" x14ac:dyDescent="0.25">
      <c r="A10795" t="s">
        <v>703</v>
      </c>
      <c r="B10795" t="s">
        <v>31</v>
      </c>
      <c r="E10795" s="3">
        <f>HYPERLINK("https://sao.dolgi.msk.ru/account/1404071731/", 1404071731)</f>
        <v>1404071731</v>
      </c>
      <c r="F10795">
        <v>-4591.0200000000004</v>
      </c>
    </row>
    <row r="10796" spans="1:6" hidden="1" x14ac:dyDescent="0.25">
      <c r="A10796" t="s">
        <v>703</v>
      </c>
      <c r="B10796" t="s">
        <v>32</v>
      </c>
      <c r="E10796" s="3">
        <f>HYPERLINK("https://sao.dolgi.msk.ru/account/1404071766/", 1404071766)</f>
        <v>1404071766</v>
      </c>
      <c r="F10796">
        <v>-4100.3500000000004</v>
      </c>
    </row>
    <row r="10797" spans="1:6" x14ac:dyDescent="0.25">
      <c r="A10797" t="s">
        <v>703</v>
      </c>
      <c r="B10797" t="s">
        <v>33</v>
      </c>
      <c r="C10797" s="5" t="str">
        <f>" кв. "&amp;B10797</f>
        <v xml:space="preserve"> кв. 29</v>
      </c>
      <c r="D10797" s="5" t="str">
        <f>CONCATENATE(A10797,C10797)</f>
        <v>Смольная ул., дом 57 к.1 кв. 29</v>
      </c>
      <c r="E10797" s="3">
        <f>HYPERLINK("https://sao.dolgi.msk.ru/account/1404071782/", 1404071782)</f>
        <v>1404071782</v>
      </c>
      <c r="F10797">
        <v>11606.12</v>
      </c>
    </row>
    <row r="10798" spans="1:6" hidden="1" x14ac:dyDescent="0.25">
      <c r="A10798" t="s">
        <v>703</v>
      </c>
      <c r="B10798" t="s">
        <v>34</v>
      </c>
      <c r="E10798" s="3">
        <f>HYPERLINK("https://sao.dolgi.msk.ru/account/1404071838/", 1404071838)</f>
        <v>1404071838</v>
      </c>
      <c r="F10798">
        <v>-168.95</v>
      </c>
    </row>
    <row r="10799" spans="1:6" hidden="1" x14ac:dyDescent="0.25">
      <c r="A10799" t="s">
        <v>703</v>
      </c>
      <c r="B10799" t="s">
        <v>35</v>
      </c>
      <c r="E10799" s="3">
        <f>HYPERLINK("https://sao.dolgi.msk.ru/account/1404071854/", 1404071854)</f>
        <v>1404071854</v>
      </c>
      <c r="F10799">
        <v>-3693.11</v>
      </c>
    </row>
    <row r="10800" spans="1:6" hidden="1" x14ac:dyDescent="0.25">
      <c r="A10800" t="s">
        <v>703</v>
      </c>
      <c r="B10800" t="s">
        <v>36</v>
      </c>
      <c r="E10800" s="3">
        <f>HYPERLINK("https://sao.dolgi.msk.ru/account/1404071918/", 1404071918)</f>
        <v>1404071918</v>
      </c>
      <c r="F10800">
        <v>-3915.5</v>
      </c>
    </row>
    <row r="10801" spans="1:6" hidden="1" x14ac:dyDescent="0.25">
      <c r="A10801" t="s">
        <v>703</v>
      </c>
      <c r="B10801" t="s">
        <v>37</v>
      </c>
      <c r="E10801" s="3">
        <f>HYPERLINK("https://sao.dolgi.msk.ru/account/1404071934/", 1404071934)</f>
        <v>1404071934</v>
      </c>
      <c r="F10801">
        <v>-9292.43</v>
      </c>
    </row>
    <row r="10802" spans="1:6" hidden="1" x14ac:dyDescent="0.25">
      <c r="A10802" t="s">
        <v>703</v>
      </c>
      <c r="B10802" t="s">
        <v>38</v>
      </c>
      <c r="E10802" s="3">
        <f>HYPERLINK("https://sao.dolgi.msk.ru/account/1404071969/", 1404071969)</f>
        <v>1404071969</v>
      </c>
      <c r="F10802">
        <v>-5527.79</v>
      </c>
    </row>
    <row r="10803" spans="1:6" hidden="1" x14ac:dyDescent="0.25">
      <c r="A10803" t="s">
        <v>703</v>
      </c>
      <c r="B10803" t="s">
        <v>39</v>
      </c>
      <c r="E10803" s="3">
        <f>HYPERLINK("https://sao.dolgi.msk.ru/account/1404071977/", 1404071977)</f>
        <v>1404071977</v>
      </c>
      <c r="F10803">
        <v>-5012.13</v>
      </c>
    </row>
    <row r="10804" spans="1:6" hidden="1" x14ac:dyDescent="0.25">
      <c r="A10804" t="s">
        <v>703</v>
      </c>
      <c r="B10804" t="s">
        <v>40</v>
      </c>
      <c r="E10804" s="3">
        <f>HYPERLINK("https://sao.dolgi.msk.ru/account/1404071993/", 1404071993)</f>
        <v>1404071993</v>
      </c>
      <c r="F10804">
        <v>-7017.07</v>
      </c>
    </row>
    <row r="10805" spans="1:6" hidden="1" x14ac:dyDescent="0.25">
      <c r="A10805" t="s">
        <v>703</v>
      </c>
      <c r="B10805" t="s">
        <v>41</v>
      </c>
      <c r="E10805" s="3">
        <f>HYPERLINK("https://sao.dolgi.msk.ru/account/1404072005/", 1404072005)</f>
        <v>1404072005</v>
      </c>
      <c r="F10805">
        <v>-6461.24</v>
      </c>
    </row>
    <row r="10806" spans="1:6" hidden="1" x14ac:dyDescent="0.25">
      <c r="A10806" t="s">
        <v>703</v>
      </c>
      <c r="B10806" t="s">
        <v>42</v>
      </c>
      <c r="E10806" s="3">
        <f>HYPERLINK("https://sao.dolgi.msk.ru/account/1404072021/", 1404072021)</f>
        <v>1404072021</v>
      </c>
      <c r="F10806">
        <v>-5611.78</v>
      </c>
    </row>
    <row r="10807" spans="1:6" hidden="1" x14ac:dyDescent="0.25">
      <c r="A10807" t="s">
        <v>703</v>
      </c>
      <c r="B10807" t="s">
        <v>43</v>
      </c>
      <c r="E10807" s="3">
        <f>HYPERLINK("https://sao.dolgi.msk.ru/account/1404072048/", 1404072048)</f>
        <v>1404072048</v>
      </c>
      <c r="F10807">
        <v>-2904.92</v>
      </c>
    </row>
    <row r="10808" spans="1:6" hidden="1" x14ac:dyDescent="0.25">
      <c r="A10808" t="s">
        <v>703</v>
      </c>
      <c r="B10808" t="s">
        <v>44</v>
      </c>
      <c r="E10808" s="3">
        <f>HYPERLINK("https://sao.dolgi.msk.ru/account/1404072064/", 1404072064)</f>
        <v>1404072064</v>
      </c>
      <c r="F10808">
        <v>-9369.49</v>
      </c>
    </row>
    <row r="10809" spans="1:6" hidden="1" x14ac:dyDescent="0.25">
      <c r="A10809" t="s">
        <v>703</v>
      </c>
      <c r="B10809" t="s">
        <v>45</v>
      </c>
      <c r="E10809" s="3">
        <f>HYPERLINK("https://sao.dolgi.msk.ru/account/1404072101/", 1404072101)</f>
        <v>1404072101</v>
      </c>
      <c r="F10809">
        <v>-6924.01</v>
      </c>
    </row>
    <row r="10810" spans="1:6" x14ac:dyDescent="0.25">
      <c r="A10810" t="s">
        <v>703</v>
      </c>
      <c r="B10810" t="s">
        <v>46</v>
      </c>
      <c r="C10810" s="5" t="str">
        <f>" кв. "&amp;B10810</f>
        <v xml:space="preserve"> кв. 42</v>
      </c>
      <c r="D10810" s="5" t="str">
        <f>CONCATENATE(A10810,C10810)</f>
        <v>Смольная ул., дом 57 к.1 кв. 42</v>
      </c>
      <c r="E10810" s="3">
        <f>HYPERLINK("https://sao.dolgi.msk.ru/account/1404072144/", 1404072144)</f>
        <v>1404072144</v>
      </c>
      <c r="F10810">
        <v>7013</v>
      </c>
    </row>
    <row r="10811" spans="1:6" hidden="1" x14ac:dyDescent="0.25">
      <c r="A10811" t="s">
        <v>703</v>
      </c>
      <c r="B10811" t="s">
        <v>47</v>
      </c>
      <c r="E10811" s="3">
        <f>HYPERLINK("https://sao.dolgi.msk.ru/account/1404072152/", 1404072152)</f>
        <v>1404072152</v>
      </c>
      <c r="F10811">
        <v>-585.32000000000005</v>
      </c>
    </row>
    <row r="10812" spans="1:6" hidden="1" x14ac:dyDescent="0.25">
      <c r="A10812" t="s">
        <v>703</v>
      </c>
      <c r="B10812" t="s">
        <v>48</v>
      </c>
      <c r="E10812" s="3">
        <f>HYPERLINK("https://sao.dolgi.msk.ru/account/1404072187/", 1404072187)</f>
        <v>1404072187</v>
      </c>
      <c r="F10812">
        <v>-7663.47</v>
      </c>
    </row>
    <row r="10813" spans="1:6" hidden="1" x14ac:dyDescent="0.25">
      <c r="A10813" t="s">
        <v>703</v>
      </c>
      <c r="B10813" t="s">
        <v>49</v>
      </c>
      <c r="E10813" s="3">
        <f>HYPERLINK("https://sao.dolgi.msk.ru/account/1404072208/", 1404072208)</f>
        <v>1404072208</v>
      </c>
      <c r="F10813">
        <v>-8617.93</v>
      </c>
    </row>
    <row r="10814" spans="1:6" hidden="1" x14ac:dyDescent="0.25">
      <c r="A10814" t="s">
        <v>703</v>
      </c>
      <c r="B10814" t="s">
        <v>50</v>
      </c>
      <c r="E10814" s="3">
        <f>HYPERLINK("https://sao.dolgi.msk.ru/account/1404072224/", 1404072224)</f>
        <v>1404072224</v>
      </c>
      <c r="F10814">
        <v>-5285.15</v>
      </c>
    </row>
    <row r="10815" spans="1:6" hidden="1" x14ac:dyDescent="0.25">
      <c r="A10815" t="s">
        <v>703</v>
      </c>
      <c r="B10815" t="s">
        <v>51</v>
      </c>
      <c r="E10815" s="3">
        <f>HYPERLINK("https://sao.dolgi.msk.ru/account/1404072259/", 1404072259)</f>
        <v>1404072259</v>
      </c>
      <c r="F10815">
        <v>-3416.52</v>
      </c>
    </row>
    <row r="10816" spans="1:6" hidden="1" x14ac:dyDescent="0.25">
      <c r="A10816" t="s">
        <v>703</v>
      </c>
      <c r="B10816" t="s">
        <v>52</v>
      </c>
      <c r="E10816" s="3">
        <f>HYPERLINK("https://sao.dolgi.msk.ru/account/1404072267/", 1404072267)</f>
        <v>1404072267</v>
      </c>
      <c r="F10816">
        <v>-7052.74</v>
      </c>
    </row>
    <row r="10817" spans="1:6" hidden="1" x14ac:dyDescent="0.25">
      <c r="A10817" t="s">
        <v>703</v>
      </c>
      <c r="B10817" t="s">
        <v>53</v>
      </c>
      <c r="E10817" s="3">
        <f>HYPERLINK("https://sao.dolgi.msk.ru/account/1404072283/", 1404072283)</f>
        <v>1404072283</v>
      </c>
      <c r="F10817">
        <v>-7839.99</v>
      </c>
    </row>
    <row r="10818" spans="1:6" hidden="1" x14ac:dyDescent="0.25">
      <c r="A10818" t="s">
        <v>703</v>
      </c>
      <c r="B10818" t="s">
        <v>54</v>
      </c>
      <c r="E10818" s="3">
        <f>HYPERLINK("https://sao.dolgi.msk.ru/account/1404072304/", 1404072304)</f>
        <v>1404072304</v>
      </c>
      <c r="F10818">
        <v>-5049.0200000000004</v>
      </c>
    </row>
    <row r="10819" spans="1:6" hidden="1" x14ac:dyDescent="0.25">
      <c r="A10819" t="s">
        <v>703</v>
      </c>
      <c r="B10819" t="s">
        <v>55</v>
      </c>
      <c r="E10819" s="3">
        <f>HYPERLINK("https://sao.dolgi.msk.ru/account/1404072339/", 1404072339)</f>
        <v>1404072339</v>
      </c>
      <c r="F10819">
        <v>-4513.99</v>
      </c>
    </row>
    <row r="10820" spans="1:6" hidden="1" x14ac:dyDescent="0.25">
      <c r="A10820" t="s">
        <v>703</v>
      </c>
      <c r="B10820" t="s">
        <v>56</v>
      </c>
      <c r="E10820" s="3">
        <f>HYPERLINK("https://sao.dolgi.msk.ru/account/1404072355/", 1404072355)</f>
        <v>1404072355</v>
      </c>
      <c r="F10820">
        <v>-6426.62</v>
      </c>
    </row>
    <row r="10821" spans="1:6" hidden="1" x14ac:dyDescent="0.25">
      <c r="A10821" t="s">
        <v>703</v>
      </c>
      <c r="B10821" t="s">
        <v>57</v>
      </c>
      <c r="E10821" s="3">
        <f>HYPERLINK("https://sao.dolgi.msk.ru/account/1404072371/", 1404072371)</f>
        <v>1404072371</v>
      </c>
      <c r="F10821">
        <v>-5740.88</v>
      </c>
    </row>
    <row r="10822" spans="1:6" hidden="1" x14ac:dyDescent="0.25">
      <c r="A10822" t="s">
        <v>703</v>
      </c>
      <c r="B10822" t="s">
        <v>58</v>
      </c>
      <c r="E10822" s="3">
        <f>HYPERLINK("https://sao.dolgi.msk.ru/account/1404072419/", 1404072419)</f>
        <v>1404072419</v>
      </c>
      <c r="F10822">
        <v>-560.27</v>
      </c>
    </row>
    <row r="10823" spans="1:6" hidden="1" x14ac:dyDescent="0.25">
      <c r="A10823" t="s">
        <v>703</v>
      </c>
      <c r="B10823" t="s">
        <v>59</v>
      </c>
      <c r="E10823" s="3">
        <f>HYPERLINK("https://sao.dolgi.msk.ru/account/1404072435/", 1404072435)</f>
        <v>1404072435</v>
      </c>
      <c r="F10823">
        <v>-3739.87</v>
      </c>
    </row>
    <row r="10824" spans="1:6" hidden="1" x14ac:dyDescent="0.25">
      <c r="A10824" t="s">
        <v>703</v>
      </c>
      <c r="B10824" t="s">
        <v>60</v>
      </c>
      <c r="E10824" s="3">
        <f>HYPERLINK("https://sao.dolgi.msk.ru/account/1404072451/", 1404072451)</f>
        <v>1404072451</v>
      </c>
      <c r="F10824">
        <v>-6478.51</v>
      </c>
    </row>
    <row r="10825" spans="1:6" hidden="1" x14ac:dyDescent="0.25">
      <c r="A10825" t="s">
        <v>703</v>
      </c>
      <c r="B10825" t="s">
        <v>61</v>
      </c>
      <c r="E10825" s="3">
        <f>HYPERLINK("https://sao.dolgi.msk.ru/account/1404072494/", 1404072494)</f>
        <v>1404072494</v>
      </c>
      <c r="F10825">
        <v>0</v>
      </c>
    </row>
    <row r="10826" spans="1:6" hidden="1" x14ac:dyDescent="0.25">
      <c r="A10826" t="s">
        <v>703</v>
      </c>
      <c r="B10826" t="s">
        <v>62</v>
      </c>
      <c r="E10826" s="3">
        <f>HYPERLINK("https://sao.dolgi.msk.ru/account/1404072507/", 1404072507)</f>
        <v>1404072507</v>
      </c>
      <c r="F10826">
        <v>-15736.7</v>
      </c>
    </row>
    <row r="10827" spans="1:6" hidden="1" x14ac:dyDescent="0.25">
      <c r="A10827" t="s">
        <v>703</v>
      </c>
      <c r="B10827" t="s">
        <v>63</v>
      </c>
      <c r="E10827" s="3">
        <f>HYPERLINK("https://sao.dolgi.msk.ru/account/1404072531/", 1404072531)</f>
        <v>1404072531</v>
      </c>
      <c r="F10827">
        <v>-10156.290000000001</v>
      </c>
    </row>
    <row r="10828" spans="1:6" hidden="1" x14ac:dyDescent="0.25">
      <c r="A10828" t="s">
        <v>703</v>
      </c>
      <c r="B10828" t="s">
        <v>64</v>
      </c>
      <c r="E10828" s="3">
        <f>HYPERLINK("https://sao.dolgi.msk.ru/account/1404072566/", 1404072566)</f>
        <v>1404072566</v>
      </c>
      <c r="F10828">
        <v>-9676.85</v>
      </c>
    </row>
    <row r="10829" spans="1:6" hidden="1" x14ac:dyDescent="0.25">
      <c r="A10829" t="s">
        <v>703</v>
      </c>
      <c r="B10829" t="s">
        <v>65</v>
      </c>
      <c r="E10829" s="3">
        <f>HYPERLINK("https://sao.dolgi.msk.ru/account/1404072603/", 1404072603)</f>
        <v>1404072603</v>
      </c>
      <c r="F10829">
        <v>-5814.4</v>
      </c>
    </row>
    <row r="10830" spans="1:6" hidden="1" x14ac:dyDescent="0.25">
      <c r="A10830" t="s">
        <v>703</v>
      </c>
      <c r="B10830" t="s">
        <v>66</v>
      </c>
      <c r="E10830" s="3">
        <f>HYPERLINK("https://sao.dolgi.msk.ru/account/1404072646/", 1404072646)</f>
        <v>1404072646</v>
      </c>
      <c r="F10830">
        <v>-5450.75</v>
      </c>
    </row>
    <row r="10831" spans="1:6" hidden="1" x14ac:dyDescent="0.25">
      <c r="A10831" t="s">
        <v>703</v>
      </c>
      <c r="B10831" t="s">
        <v>67</v>
      </c>
      <c r="E10831" s="3">
        <f>HYPERLINK("https://sao.dolgi.msk.ru/account/1404072654/", 1404072654)</f>
        <v>1404072654</v>
      </c>
      <c r="F10831">
        <v>-5725.9</v>
      </c>
    </row>
    <row r="10832" spans="1:6" x14ac:dyDescent="0.25">
      <c r="A10832" t="s">
        <v>703</v>
      </c>
      <c r="B10832" t="s">
        <v>68</v>
      </c>
      <c r="C10832" s="5" t="str">
        <f>" кв. "&amp;B10832</f>
        <v xml:space="preserve"> кв. 64</v>
      </c>
      <c r="D10832" s="5" t="str">
        <f>CONCATENATE(A10832,C10832)</f>
        <v>Смольная ул., дом 57 к.1 кв. 64</v>
      </c>
      <c r="E10832" s="3">
        <f>HYPERLINK("https://sao.dolgi.msk.ru/account/1404171345/", 1404171345)</f>
        <v>1404171345</v>
      </c>
      <c r="F10832">
        <v>11763.04</v>
      </c>
    </row>
    <row r="10833" spans="1:6" hidden="1" x14ac:dyDescent="0.25">
      <c r="A10833" t="s">
        <v>703</v>
      </c>
      <c r="B10833" t="s">
        <v>69</v>
      </c>
      <c r="E10833" s="3">
        <f>HYPERLINK("https://sao.dolgi.msk.ru/account/1404072697/", 1404072697)</f>
        <v>1404072697</v>
      </c>
      <c r="F10833">
        <v>0</v>
      </c>
    </row>
    <row r="10834" spans="1:6" hidden="1" x14ac:dyDescent="0.25">
      <c r="A10834" t="s">
        <v>703</v>
      </c>
      <c r="B10834" t="s">
        <v>70</v>
      </c>
      <c r="E10834" s="3">
        <f>HYPERLINK("https://sao.dolgi.msk.ru/account/1404072734/", 1404072734)</f>
        <v>1404072734</v>
      </c>
      <c r="F10834">
        <v>0</v>
      </c>
    </row>
    <row r="10835" spans="1:6" hidden="1" x14ac:dyDescent="0.25">
      <c r="A10835" t="s">
        <v>703</v>
      </c>
      <c r="B10835" t="s">
        <v>71</v>
      </c>
      <c r="E10835" s="3">
        <f>HYPERLINK("https://sao.dolgi.msk.ru/account/1404072742/", 1404072742)</f>
        <v>1404072742</v>
      </c>
      <c r="F10835">
        <v>-5575.42</v>
      </c>
    </row>
    <row r="10836" spans="1:6" hidden="1" x14ac:dyDescent="0.25">
      <c r="A10836" t="s">
        <v>703</v>
      </c>
      <c r="B10836" t="s">
        <v>72</v>
      </c>
      <c r="E10836" s="3">
        <f>HYPERLINK("https://sao.dolgi.msk.ru/account/1404072777/", 1404072777)</f>
        <v>1404072777</v>
      </c>
      <c r="F10836">
        <v>-14296.89</v>
      </c>
    </row>
    <row r="10837" spans="1:6" hidden="1" x14ac:dyDescent="0.25">
      <c r="A10837" t="s">
        <v>703</v>
      </c>
      <c r="B10837" t="s">
        <v>73</v>
      </c>
      <c r="E10837" s="3">
        <f>HYPERLINK("https://sao.dolgi.msk.ru/account/1404072793/", 1404072793)</f>
        <v>1404072793</v>
      </c>
      <c r="F10837">
        <v>0</v>
      </c>
    </row>
    <row r="10838" spans="1:6" hidden="1" x14ac:dyDescent="0.25">
      <c r="A10838" t="s">
        <v>703</v>
      </c>
      <c r="B10838" t="s">
        <v>74</v>
      </c>
      <c r="E10838" s="3">
        <f>HYPERLINK("https://sao.dolgi.msk.ru/account/1404072806/", 1404072806)</f>
        <v>1404072806</v>
      </c>
      <c r="F10838">
        <v>-5520.88</v>
      </c>
    </row>
    <row r="10839" spans="1:6" hidden="1" x14ac:dyDescent="0.25">
      <c r="A10839" t="s">
        <v>703</v>
      </c>
      <c r="B10839" t="s">
        <v>75</v>
      </c>
      <c r="E10839" s="3">
        <f>HYPERLINK("https://sao.dolgi.msk.ru/account/1404072822/", 1404072822)</f>
        <v>1404072822</v>
      </c>
      <c r="F10839">
        <v>-4402.29</v>
      </c>
    </row>
    <row r="10840" spans="1:6" hidden="1" x14ac:dyDescent="0.25">
      <c r="A10840" t="s">
        <v>703</v>
      </c>
      <c r="B10840" t="s">
        <v>76</v>
      </c>
      <c r="E10840" s="3">
        <f>HYPERLINK("https://sao.dolgi.msk.ru/account/1404072849/", 1404072849)</f>
        <v>1404072849</v>
      </c>
      <c r="F10840">
        <v>-7334.81</v>
      </c>
    </row>
    <row r="10841" spans="1:6" hidden="1" x14ac:dyDescent="0.25">
      <c r="A10841" t="s">
        <v>703</v>
      </c>
      <c r="B10841" t="s">
        <v>77</v>
      </c>
      <c r="E10841" s="3">
        <f>HYPERLINK("https://sao.dolgi.msk.ru/account/1404072857/", 1404072857)</f>
        <v>1404072857</v>
      </c>
      <c r="F10841">
        <v>-6831.75</v>
      </c>
    </row>
    <row r="10842" spans="1:6" hidden="1" x14ac:dyDescent="0.25">
      <c r="A10842" t="s">
        <v>703</v>
      </c>
      <c r="B10842" t="s">
        <v>78</v>
      </c>
      <c r="E10842" s="3">
        <f>HYPERLINK("https://sao.dolgi.msk.ru/account/1404072865/", 1404072865)</f>
        <v>1404072865</v>
      </c>
      <c r="F10842">
        <v>-5421.06</v>
      </c>
    </row>
    <row r="10843" spans="1:6" hidden="1" x14ac:dyDescent="0.25">
      <c r="A10843" t="s">
        <v>703</v>
      </c>
      <c r="B10843" t="s">
        <v>79</v>
      </c>
      <c r="E10843" s="3">
        <f>HYPERLINK("https://sao.dolgi.msk.ru/account/1404072873/", 1404072873)</f>
        <v>1404072873</v>
      </c>
      <c r="F10843">
        <v>0</v>
      </c>
    </row>
    <row r="10844" spans="1:6" hidden="1" x14ac:dyDescent="0.25">
      <c r="A10844" t="s">
        <v>703</v>
      </c>
      <c r="B10844" t="s">
        <v>80</v>
      </c>
      <c r="E10844" s="3">
        <f>HYPERLINK("https://sao.dolgi.msk.ru/account/1404072881/", 1404072881)</f>
        <v>1404072881</v>
      </c>
      <c r="F10844">
        <v>-5389.37</v>
      </c>
    </row>
    <row r="10845" spans="1:6" hidden="1" x14ac:dyDescent="0.25">
      <c r="A10845" t="s">
        <v>703</v>
      </c>
      <c r="B10845" t="s">
        <v>81</v>
      </c>
      <c r="E10845" s="3">
        <f>HYPERLINK("https://sao.dolgi.msk.ru/account/1404093164/", 1404093164)</f>
        <v>1404093164</v>
      </c>
      <c r="F10845">
        <v>-10599.75</v>
      </c>
    </row>
    <row r="10846" spans="1:6" hidden="1" x14ac:dyDescent="0.25">
      <c r="A10846" t="s">
        <v>703</v>
      </c>
      <c r="B10846" t="s">
        <v>82</v>
      </c>
      <c r="E10846" s="3">
        <f>HYPERLINK("https://sao.dolgi.msk.ru/account/1404072902/", 1404072902)</f>
        <v>1404072902</v>
      </c>
      <c r="F10846">
        <v>-4687.9399999999996</v>
      </c>
    </row>
    <row r="10847" spans="1:6" hidden="1" x14ac:dyDescent="0.25">
      <c r="A10847" t="s">
        <v>703</v>
      </c>
      <c r="B10847" t="s">
        <v>83</v>
      </c>
      <c r="E10847" s="3">
        <f>HYPERLINK("https://sao.dolgi.msk.ru/account/1404072929/", 1404072929)</f>
        <v>1404072929</v>
      </c>
      <c r="F10847">
        <v>0</v>
      </c>
    </row>
    <row r="10848" spans="1:6" hidden="1" x14ac:dyDescent="0.25">
      <c r="A10848" t="s">
        <v>703</v>
      </c>
      <c r="B10848" t="s">
        <v>84</v>
      </c>
      <c r="E10848" s="3">
        <f>HYPERLINK("https://sao.dolgi.msk.ru/account/1404072945/", 1404072945)</f>
        <v>1404072945</v>
      </c>
      <c r="F10848">
        <v>0</v>
      </c>
    </row>
    <row r="10849" spans="1:6" hidden="1" x14ac:dyDescent="0.25">
      <c r="A10849" t="s">
        <v>703</v>
      </c>
      <c r="B10849" t="s">
        <v>85</v>
      </c>
      <c r="E10849" s="3">
        <f>HYPERLINK("https://sao.dolgi.msk.ru/account/1404072953/", 1404072953)</f>
        <v>1404072953</v>
      </c>
      <c r="F10849">
        <v>-4887.49</v>
      </c>
    </row>
    <row r="10850" spans="1:6" hidden="1" x14ac:dyDescent="0.25">
      <c r="A10850" t="s">
        <v>703</v>
      </c>
      <c r="B10850" t="s">
        <v>86</v>
      </c>
      <c r="E10850" s="3">
        <f>HYPERLINK("https://sao.dolgi.msk.ru/account/1404072961/", 1404072961)</f>
        <v>1404072961</v>
      </c>
      <c r="F10850">
        <v>0</v>
      </c>
    </row>
    <row r="10851" spans="1:6" hidden="1" x14ac:dyDescent="0.25">
      <c r="A10851" t="s">
        <v>703</v>
      </c>
      <c r="B10851" t="s">
        <v>87</v>
      </c>
      <c r="E10851" s="3">
        <f>HYPERLINK("https://sao.dolgi.msk.ru/account/1404072988/", 1404072988)</f>
        <v>1404072988</v>
      </c>
      <c r="F10851">
        <v>-6960.53</v>
      </c>
    </row>
    <row r="10852" spans="1:6" hidden="1" x14ac:dyDescent="0.25">
      <c r="A10852" t="s">
        <v>703</v>
      </c>
      <c r="B10852" t="s">
        <v>88</v>
      </c>
      <c r="E10852" s="3">
        <f>HYPERLINK("https://sao.dolgi.msk.ru/account/1404072996/", 1404072996)</f>
        <v>1404072996</v>
      </c>
      <c r="F10852">
        <v>-5351.12</v>
      </c>
    </row>
    <row r="10853" spans="1:6" hidden="1" x14ac:dyDescent="0.25">
      <c r="A10853" t="s">
        <v>703</v>
      </c>
      <c r="B10853" t="s">
        <v>89</v>
      </c>
      <c r="E10853" s="3">
        <f>HYPERLINK("https://sao.dolgi.msk.ru/account/1404073008/", 1404073008)</f>
        <v>1404073008</v>
      </c>
      <c r="F10853">
        <v>-5171.1899999999996</v>
      </c>
    </row>
    <row r="10854" spans="1:6" hidden="1" x14ac:dyDescent="0.25">
      <c r="A10854" t="s">
        <v>703</v>
      </c>
      <c r="B10854" t="s">
        <v>90</v>
      </c>
      <c r="E10854" s="3">
        <f>HYPERLINK("https://sao.dolgi.msk.ru/account/1404073016/", 1404073016)</f>
        <v>1404073016</v>
      </c>
      <c r="F10854">
        <v>-5136.42</v>
      </c>
    </row>
    <row r="10855" spans="1:6" x14ac:dyDescent="0.25">
      <c r="A10855" t="s">
        <v>703</v>
      </c>
      <c r="B10855" t="s">
        <v>91</v>
      </c>
      <c r="C10855" s="5" t="str">
        <f>" кв. "&amp;B10855</f>
        <v xml:space="preserve"> кв. 87</v>
      </c>
      <c r="D10855" s="5" t="str">
        <f>CONCATENATE(A10855,C10855)</f>
        <v>Смольная ул., дом 57 к.1 кв. 87</v>
      </c>
      <c r="E10855" s="3">
        <f>HYPERLINK("https://sao.dolgi.msk.ru/account/1404073024/", 1404073024)</f>
        <v>1404073024</v>
      </c>
      <c r="F10855">
        <v>1166.25</v>
      </c>
    </row>
    <row r="10856" spans="1:6" hidden="1" x14ac:dyDescent="0.25">
      <c r="A10856" t="s">
        <v>703</v>
      </c>
      <c r="B10856" t="s">
        <v>92</v>
      </c>
      <c r="E10856" s="3">
        <f>HYPERLINK("https://sao.dolgi.msk.ru/account/1404073032/", 1404073032)</f>
        <v>1404073032</v>
      </c>
      <c r="F10856">
        <v>-3766.23</v>
      </c>
    </row>
    <row r="10857" spans="1:6" x14ac:dyDescent="0.25">
      <c r="A10857" t="s">
        <v>703</v>
      </c>
      <c r="B10857" t="s">
        <v>93</v>
      </c>
      <c r="C10857" s="5" t="str">
        <f>" кв. "&amp;B10857</f>
        <v xml:space="preserve"> кв. 89</v>
      </c>
      <c r="D10857" s="5" t="str">
        <f>CONCATENATE(A10857,C10857)</f>
        <v>Смольная ул., дом 57 к.1 кв. 89</v>
      </c>
      <c r="E10857" s="3">
        <f>HYPERLINK("https://sao.dolgi.msk.ru/account/1404153905/", 1404153905)</f>
        <v>1404153905</v>
      </c>
      <c r="F10857">
        <v>6787.58</v>
      </c>
    </row>
    <row r="10858" spans="1:6" hidden="1" x14ac:dyDescent="0.25">
      <c r="A10858" t="s">
        <v>703</v>
      </c>
      <c r="B10858" t="s">
        <v>94</v>
      </c>
      <c r="E10858" s="3">
        <f>HYPERLINK("https://sao.dolgi.msk.ru/account/1404073059/", 1404073059)</f>
        <v>1404073059</v>
      </c>
      <c r="F10858">
        <v>-6510.53</v>
      </c>
    </row>
    <row r="10859" spans="1:6" hidden="1" x14ac:dyDescent="0.25">
      <c r="A10859" t="s">
        <v>703</v>
      </c>
      <c r="B10859" t="s">
        <v>95</v>
      </c>
      <c r="E10859" s="3">
        <f>HYPERLINK("https://sao.dolgi.msk.ru/account/1404073067/", 1404073067)</f>
        <v>1404073067</v>
      </c>
      <c r="F10859">
        <v>-3837.49</v>
      </c>
    </row>
    <row r="10860" spans="1:6" hidden="1" x14ac:dyDescent="0.25">
      <c r="A10860" t="s">
        <v>703</v>
      </c>
      <c r="B10860" t="s">
        <v>96</v>
      </c>
      <c r="E10860" s="3">
        <f>HYPERLINK("https://sao.dolgi.msk.ru/account/1404073075/", 1404073075)</f>
        <v>1404073075</v>
      </c>
      <c r="F10860">
        <v>-6932.19</v>
      </c>
    </row>
    <row r="10861" spans="1:6" hidden="1" x14ac:dyDescent="0.25">
      <c r="A10861" t="s">
        <v>703</v>
      </c>
      <c r="B10861" t="s">
        <v>97</v>
      </c>
      <c r="E10861" s="3">
        <f>HYPERLINK("https://sao.dolgi.msk.ru/account/1404073083/", 1404073083)</f>
        <v>1404073083</v>
      </c>
      <c r="F10861">
        <v>-43.16</v>
      </c>
    </row>
    <row r="10862" spans="1:6" hidden="1" x14ac:dyDescent="0.25">
      <c r="A10862" t="s">
        <v>703</v>
      </c>
      <c r="B10862" t="s">
        <v>98</v>
      </c>
      <c r="E10862" s="3">
        <f>HYPERLINK("https://sao.dolgi.msk.ru/account/1404073091/", 1404073091)</f>
        <v>1404073091</v>
      </c>
      <c r="F10862">
        <v>-17384.77</v>
      </c>
    </row>
    <row r="10863" spans="1:6" hidden="1" x14ac:dyDescent="0.25">
      <c r="A10863" t="s">
        <v>703</v>
      </c>
      <c r="B10863" t="s">
        <v>99</v>
      </c>
      <c r="E10863" s="3">
        <f>HYPERLINK("https://sao.dolgi.msk.ru/account/1404073104/", 1404073104)</f>
        <v>1404073104</v>
      </c>
      <c r="F10863">
        <v>-3512.56</v>
      </c>
    </row>
    <row r="10864" spans="1:6" hidden="1" x14ac:dyDescent="0.25">
      <c r="A10864" t="s">
        <v>703</v>
      </c>
      <c r="B10864" t="s">
        <v>100</v>
      </c>
      <c r="E10864" s="3">
        <f>HYPERLINK("https://sao.dolgi.msk.ru/account/1404073112/", 1404073112)</f>
        <v>1404073112</v>
      </c>
      <c r="F10864">
        <v>-9126.89</v>
      </c>
    </row>
    <row r="10865" spans="1:6" x14ac:dyDescent="0.25">
      <c r="A10865" t="s">
        <v>703</v>
      </c>
      <c r="B10865" t="s">
        <v>101</v>
      </c>
      <c r="C10865" s="5" t="str">
        <f>" кв. "&amp;B10865</f>
        <v xml:space="preserve"> кв. 97</v>
      </c>
      <c r="D10865" s="5" t="str">
        <f>CONCATENATE(A10865,C10865)</f>
        <v>Смольная ул., дом 57 к.1 кв. 97</v>
      </c>
      <c r="E10865" s="3">
        <f>HYPERLINK("https://sao.dolgi.msk.ru/account/1404171388/", 1404171388)</f>
        <v>1404171388</v>
      </c>
      <c r="F10865">
        <v>8841.92</v>
      </c>
    </row>
    <row r="10866" spans="1:6" hidden="1" x14ac:dyDescent="0.25">
      <c r="A10866" t="s">
        <v>703</v>
      </c>
      <c r="B10866" t="s">
        <v>102</v>
      </c>
      <c r="E10866" s="3">
        <f>HYPERLINK("https://sao.dolgi.msk.ru/account/1404073139/", 1404073139)</f>
        <v>1404073139</v>
      </c>
      <c r="F10866">
        <v>-5450.75</v>
      </c>
    </row>
    <row r="10867" spans="1:6" hidden="1" x14ac:dyDescent="0.25">
      <c r="A10867" t="s">
        <v>703</v>
      </c>
      <c r="B10867" t="s">
        <v>103</v>
      </c>
      <c r="E10867" s="3">
        <f>HYPERLINK("https://sao.dolgi.msk.ru/account/1404073147/", 1404073147)</f>
        <v>1404073147</v>
      </c>
      <c r="F10867">
        <v>-3745.75</v>
      </c>
    </row>
    <row r="10868" spans="1:6" hidden="1" x14ac:dyDescent="0.25">
      <c r="A10868" t="s">
        <v>703</v>
      </c>
      <c r="B10868" t="s">
        <v>104</v>
      </c>
      <c r="E10868" s="3">
        <f>HYPERLINK("https://sao.dolgi.msk.ru/account/1404073155/", 1404073155)</f>
        <v>1404073155</v>
      </c>
      <c r="F10868">
        <v>-8305.02</v>
      </c>
    </row>
    <row r="10869" spans="1:6" hidden="1" x14ac:dyDescent="0.25">
      <c r="A10869" t="s">
        <v>703</v>
      </c>
      <c r="B10869" t="s">
        <v>105</v>
      </c>
      <c r="E10869" s="3">
        <f>HYPERLINK("https://sao.dolgi.msk.ru/account/1404073171/", 1404073171)</f>
        <v>1404073171</v>
      </c>
      <c r="F10869">
        <v>-7119.64</v>
      </c>
    </row>
    <row r="10870" spans="1:6" hidden="1" x14ac:dyDescent="0.25">
      <c r="A10870" t="s">
        <v>703</v>
      </c>
      <c r="B10870" t="s">
        <v>106</v>
      </c>
      <c r="E10870" s="3">
        <f>HYPERLINK("https://sao.dolgi.msk.ru/account/1404073219/", 1404073219)</f>
        <v>1404073219</v>
      </c>
      <c r="F10870">
        <v>-7765.06</v>
      </c>
    </row>
    <row r="10871" spans="1:6" hidden="1" x14ac:dyDescent="0.25">
      <c r="A10871" t="s">
        <v>703</v>
      </c>
      <c r="B10871" t="s">
        <v>107</v>
      </c>
      <c r="E10871" s="3">
        <f>HYPERLINK("https://sao.dolgi.msk.ru/account/1404073235/", 1404073235)</f>
        <v>1404073235</v>
      </c>
      <c r="F10871">
        <v>-3745.75</v>
      </c>
    </row>
    <row r="10872" spans="1:6" hidden="1" x14ac:dyDescent="0.25">
      <c r="A10872" t="s">
        <v>703</v>
      </c>
      <c r="B10872" t="s">
        <v>108</v>
      </c>
      <c r="E10872" s="3">
        <f>HYPERLINK("https://sao.dolgi.msk.ru/account/1404073251/", 1404073251)</f>
        <v>1404073251</v>
      </c>
      <c r="F10872">
        <v>-9872.8700000000008</v>
      </c>
    </row>
    <row r="10873" spans="1:6" hidden="1" x14ac:dyDescent="0.25">
      <c r="A10873" t="s">
        <v>703</v>
      </c>
      <c r="B10873" t="s">
        <v>109</v>
      </c>
      <c r="E10873" s="3">
        <f>HYPERLINK("https://sao.dolgi.msk.ru/account/1404073286/", 1404073286)</f>
        <v>1404073286</v>
      </c>
      <c r="F10873">
        <v>-3988.33</v>
      </c>
    </row>
    <row r="10874" spans="1:6" hidden="1" x14ac:dyDescent="0.25">
      <c r="A10874" t="s">
        <v>703</v>
      </c>
      <c r="B10874" t="s">
        <v>110</v>
      </c>
      <c r="E10874" s="3">
        <f>HYPERLINK("https://sao.dolgi.msk.ru/account/1404073307/", 1404073307)</f>
        <v>1404073307</v>
      </c>
      <c r="F10874">
        <v>-5090.5600000000004</v>
      </c>
    </row>
    <row r="10875" spans="1:6" hidden="1" x14ac:dyDescent="0.25">
      <c r="A10875" t="s">
        <v>703</v>
      </c>
      <c r="B10875" t="s">
        <v>111</v>
      </c>
      <c r="E10875" s="3">
        <f>HYPERLINK("https://sao.dolgi.msk.ru/account/1404073315/", 1404073315)</f>
        <v>1404073315</v>
      </c>
      <c r="F10875">
        <v>-3659.96</v>
      </c>
    </row>
    <row r="10876" spans="1:6" hidden="1" x14ac:dyDescent="0.25">
      <c r="A10876" t="s">
        <v>703</v>
      </c>
      <c r="B10876" t="s">
        <v>112</v>
      </c>
      <c r="E10876" s="3">
        <f>HYPERLINK("https://sao.dolgi.msk.ru/account/1404073331/", 1404073331)</f>
        <v>1404073331</v>
      </c>
      <c r="F10876">
        <v>-7078.37</v>
      </c>
    </row>
    <row r="10877" spans="1:6" hidden="1" x14ac:dyDescent="0.25">
      <c r="A10877" t="s">
        <v>703</v>
      </c>
      <c r="B10877" t="s">
        <v>113</v>
      </c>
      <c r="E10877" s="3">
        <f>HYPERLINK("https://sao.dolgi.msk.ru/account/1404073366/", 1404073366)</f>
        <v>1404073366</v>
      </c>
      <c r="F10877">
        <v>-168.29</v>
      </c>
    </row>
    <row r="10878" spans="1:6" hidden="1" x14ac:dyDescent="0.25">
      <c r="A10878" t="s">
        <v>703</v>
      </c>
      <c r="B10878" t="s">
        <v>114</v>
      </c>
      <c r="E10878" s="3">
        <f>HYPERLINK("https://sao.dolgi.msk.ru/account/1404073382/", 1404073382)</f>
        <v>1404073382</v>
      </c>
      <c r="F10878">
        <v>-5237.75</v>
      </c>
    </row>
    <row r="10879" spans="1:6" hidden="1" x14ac:dyDescent="0.25">
      <c r="A10879" t="s">
        <v>703</v>
      </c>
      <c r="B10879" t="s">
        <v>115</v>
      </c>
      <c r="E10879" s="3">
        <f>HYPERLINK("https://sao.dolgi.msk.ru/account/1404073403/", 1404073403)</f>
        <v>1404073403</v>
      </c>
      <c r="F10879">
        <v>-15573.34</v>
      </c>
    </row>
    <row r="10880" spans="1:6" hidden="1" x14ac:dyDescent="0.25">
      <c r="A10880" t="s">
        <v>703</v>
      </c>
      <c r="B10880" t="s">
        <v>116</v>
      </c>
      <c r="E10880" s="3">
        <f>HYPERLINK("https://sao.dolgi.msk.ru/account/1404073411/", 1404073411)</f>
        <v>1404073411</v>
      </c>
      <c r="F10880">
        <v>-6145.51</v>
      </c>
    </row>
    <row r="10881" spans="1:6" hidden="1" x14ac:dyDescent="0.25">
      <c r="A10881" t="s">
        <v>703</v>
      </c>
      <c r="B10881" t="s">
        <v>117</v>
      </c>
      <c r="E10881" s="3">
        <f>HYPERLINK("https://sao.dolgi.msk.ru/account/1404073438/", 1404073438)</f>
        <v>1404073438</v>
      </c>
      <c r="F10881">
        <v>0</v>
      </c>
    </row>
    <row r="10882" spans="1:6" hidden="1" x14ac:dyDescent="0.25">
      <c r="A10882" t="s">
        <v>703</v>
      </c>
      <c r="B10882" t="s">
        <v>118</v>
      </c>
      <c r="E10882" s="3">
        <f>HYPERLINK("https://sao.dolgi.msk.ru/account/1404073454/", 1404073454)</f>
        <v>1404073454</v>
      </c>
      <c r="F10882">
        <v>-7593.6</v>
      </c>
    </row>
    <row r="10883" spans="1:6" hidden="1" x14ac:dyDescent="0.25">
      <c r="A10883" t="s">
        <v>703</v>
      </c>
      <c r="B10883" t="s">
        <v>119</v>
      </c>
      <c r="E10883" s="3">
        <f>HYPERLINK("https://sao.dolgi.msk.ru/account/1404073489/", 1404073489)</f>
        <v>1404073489</v>
      </c>
      <c r="F10883">
        <v>-1654.74</v>
      </c>
    </row>
    <row r="10884" spans="1:6" hidden="1" x14ac:dyDescent="0.25">
      <c r="A10884" t="s">
        <v>703</v>
      </c>
      <c r="B10884" t="s">
        <v>120</v>
      </c>
      <c r="E10884" s="3">
        <f>HYPERLINK("https://sao.dolgi.msk.ru/account/1404073497/", 1404073497)</f>
        <v>1404073497</v>
      </c>
      <c r="F10884">
        <v>-1685.98</v>
      </c>
    </row>
    <row r="10885" spans="1:6" hidden="1" x14ac:dyDescent="0.25">
      <c r="A10885" t="s">
        <v>703</v>
      </c>
      <c r="B10885" t="s">
        <v>121</v>
      </c>
      <c r="E10885" s="3">
        <f>HYPERLINK("https://sao.dolgi.msk.ru/account/1404073526/", 1404073526)</f>
        <v>1404073526</v>
      </c>
      <c r="F10885">
        <v>-8849.84</v>
      </c>
    </row>
    <row r="10886" spans="1:6" x14ac:dyDescent="0.25">
      <c r="A10886" t="s">
        <v>703</v>
      </c>
      <c r="B10886" t="s">
        <v>122</v>
      </c>
      <c r="C10886" s="5" t="str">
        <f>" кв. "&amp;B10886</f>
        <v xml:space="preserve"> кв. 118</v>
      </c>
      <c r="D10886" s="5" t="str">
        <f>CONCATENATE(A10886,C10886)</f>
        <v>Смольная ул., дом 57 к.1 кв. 118</v>
      </c>
      <c r="E10886" s="3">
        <f>HYPERLINK("https://sao.dolgi.msk.ru/account/1404071176/", 1404071176)</f>
        <v>1404071176</v>
      </c>
      <c r="F10886">
        <v>8876.02</v>
      </c>
    </row>
    <row r="10887" spans="1:6" hidden="1" x14ac:dyDescent="0.25">
      <c r="A10887" t="s">
        <v>703</v>
      </c>
      <c r="B10887" t="s">
        <v>123</v>
      </c>
      <c r="E10887" s="3">
        <f>HYPERLINK("https://sao.dolgi.msk.ru/account/1404071184/", 1404071184)</f>
        <v>1404071184</v>
      </c>
      <c r="F10887">
        <v>-4567.3599999999997</v>
      </c>
    </row>
    <row r="10888" spans="1:6" hidden="1" x14ac:dyDescent="0.25">
      <c r="A10888" t="s">
        <v>703</v>
      </c>
      <c r="B10888" t="s">
        <v>124</v>
      </c>
      <c r="E10888" s="3">
        <f>HYPERLINK("https://sao.dolgi.msk.ru/account/1404071192/", 1404071192)</f>
        <v>1404071192</v>
      </c>
      <c r="F10888">
        <v>-7425.5</v>
      </c>
    </row>
    <row r="10889" spans="1:6" hidden="1" x14ac:dyDescent="0.25">
      <c r="A10889" t="s">
        <v>703</v>
      </c>
      <c r="B10889" t="s">
        <v>125</v>
      </c>
      <c r="E10889" s="3">
        <f>HYPERLINK("https://sao.dolgi.msk.ru/account/1404073569/", 1404073569)</f>
        <v>1404073569</v>
      </c>
      <c r="F10889">
        <v>-10122.75</v>
      </c>
    </row>
    <row r="10890" spans="1:6" hidden="1" x14ac:dyDescent="0.25">
      <c r="A10890" t="s">
        <v>703</v>
      </c>
      <c r="B10890" t="s">
        <v>126</v>
      </c>
      <c r="E10890" s="3">
        <f>HYPERLINK("https://sao.dolgi.msk.ru/account/1404073585/", 1404073585)</f>
        <v>1404073585</v>
      </c>
      <c r="F10890">
        <v>-1523.19</v>
      </c>
    </row>
    <row r="10891" spans="1:6" hidden="1" x14ac:dyDescent="0.25">
      <c r="A10891" t="s">
        <v>703</v>
      </c>
      <c r="B10891" t="s">
        <v>127</v>
      </c>
      <c r="E10891" s="3">
        <f>HYPERLINK("https://sao.dolgi.msk.ru/account/1404073606/", 1404073606)</f>
        <v>1404073606</v>
      </c>
      <c r="F10891">
        <v>-3745.75</v>
      </c>
    </row>
    <row r="10892" spans="1:6" hidden="1" x14ac:dyDescent="0.25">
      <c r="A10892" t="s">
        <v>703</v>
      </c>
      <c r="B10892" t="s">
        <v>128</v>
      </c>
      <c r="E10892" s="3">
        <f>HYPERLINK("https://sao.dolgi.msk.ru/account/1404073614/", 1404073614)</f>
        <v>1404073614</v>
      </c>
      <c r="F10892">
        <v>-6139.18</v>
      </c>
    </row>
    <row r="10893" spans="1:6" x14ac:dyDescent="0.25">
      <c r="A10893" t="s">
        <v>703</v>
      </c>
      <c r="B10893" t="s">
        <v>129</v>
      </c>
      <c r="C10893" s="5" t="str">
        <f>" кв. "&amp;B10893</f>
        <v xml:space="preserve"> кв. 125</v>
      </c>
      <c r="D10893" s="5" t="str">
        <f>CONCATENATE(A10893,C10893)</f>
        <v>Смольная ул., дом 57 к.1 кв. 125</v>
      </c>
      <c r="E10893" s="3">
        <f>HYPERLINK("https://sao.dolgi.msk.ru/account/1404073649/", 1404073649)</f>
        <v>1404073649</v>
      </c>
      <c r="F10893">
        <v>5277.86</v>
      </c>
    </row>
    <row r="10894" spans="1:6" hidden="1" x14ac:dyDescent="0.25">
      <c r="A10894" t="s">
        <v>703</v>
      </c>
      <c r="B10894" t="s">
        <v>130</v>
      </c>
      <c r="E10894" s="3">
        <f>HYPERLINK("https://sao.dolgi.msk.ru/account/1404073665/", 1404073665)</f>
        <v>1404073665</v>
      </c>
      <c r="F10894">
        <v>-4210.0600000000004</v>
      </c>
    </row>
    <row r="10895" spans="1:6" hidden="1" x14ac:dyDescent="0.25">
      <c r="A10895" t="s">
        <v>703</v>
      </c>
      <c r="B10895" t="s">
        <v>131</v>
      </c>
      <c r="E10895" s="3">
        <f>HYPERLINK("https://sao.dolgi.msk.ru/account/1404073681/", 1404073681)</f>
        <v>1404073681</v>
      </c>
      <c r="F10895">
        <v>-4220.3100000000004</v>
      </c>
    </row>
    <row r="10896" spans="1:6" hidden="1" x14ac:dyDescent="0.25">
      <c r="A10896" t="s">
        <v>703</v>
      </c>
      <c r="B10896" t="s">
        <v>132</v>
      </c>
      <c r="E10896" s="3">
        <f>HYPERLINK("https://sao.dolgi.msk.ru/account/1404071221/", 1404071221)</f>
        <v>1404071221</v>
      </c>
      <c r="F10896">
        <v>-5418.62</v>
      </c>
    </row>
    <row r="10897" spans="1:6" hidden="1" x14ac:dyDescent="0.25">
      <c r="A10897" t="s">
        <v>703</v>
      </c>
      <c r="B10897" t="s">
        <v>133</v>
      </c>
      <c r="E10897" s="3">
        <f>HYPERLINK("https://sao.dolgi.msk.ru/account/1404071379/", 1404071379)</f>
        <v>1404071379</v>
      </c>
      <c r="F10897">
        <v>0</v>
      </c>
    </row>
    <row r="10898" spans="1:6" hidden="1" x14ac:dyDescent="0.25">
      <c r="A10898" t="s">
        <v>703</v>
      </c>
      <c r="B10898" t="s">
        <v>134</v>
      </c>
      <c r="E10898" s="3">
        <f>HYPERLINK("https://sao.dolgi.msk.ru/account/1404072515/", 1404072515)</f>
        <v>1404072515</v>
      </c>
      <c r="F10898">
        <v>-5919.19</v>
      </c>
    </row>
    <row r="10899" spans="1:6" hidden="1" x14ac:dyDescent="0.25">
      <c r="A10899" t="s">
        <v>703</v>
      </c>
      <c r="B10899" t="s">
        <v>135</v>
      </c>
      <c r="E10899" s="3">
        <f>HYPERLINK("https://sao.dolgi.msk.ru/account/1404071387/", 1404071387)</f>
        <v>1404071387</v>
      </c>
      <c r="F10899">
        <v>-353.36</v>
      </c>
    </row>
    <row r="10900" spans="1:6" x14ac:dyDescent="0.25">
      <c r="A10900" t="s">
        <v>703</v>
      </c>
      <c r="B10900" t="s">
        <v>136</v>
      </c>
      <c r="C10900" s="5" t="str">
        <f>" кв. "&amp;B10900</f>
        <v xml:space="preserve"> кв. 132</v>
      </c>
      <c r="D10900" s="5" t="str">
        <f>CONCATENATE(A10900,C10900)</f>
        <v>Смольная ул., дом 57 к.1 кв. 132</v>
      </c>
      <c r="E10900" s="3">
        <f>HYPERLINK("https://sao.dolgi.msk.ru/account/1404071395/", 1404071395)</f>
        <v>1404071395</v>
      </c>
      <c r="F10900">
        <v>3584.95</v>
      </c>
    </row>
    <row r="10901" spans="1:6" hidden="1" x14ac:dyDescent="0.25">
      <c r="A10901" t="s">
        <v>703</v>
      </c>
      <c r="B10901" t="s">
        <v>137</v>
      </c>
      <c r="E10901" s="3">
        <f>HYPERLINK("https://sao.dolgi.msk.ru/account/1404071408/", 1404071408)</f>
        <v>1404071408</v>
      </c>
      <c r="F10901">
        <v>-3596.23</v>
      </c>
    </row>
    <row r="10902" spans="1:6" hidden="1" x14ac:dyDescent="0.25">
      <c r="A10902" t="s">
        <v>703</v>
      </c>
      <c r="B10902" t="s">
        <v>138</v>
      </c>
      <c r="E10902" s="3">
        <f>HYPERLINK("https://sao.dolgi.msk.ru/account/1404071432/", 1404071432)</f>
        <v>1404071432</v>
      </c>
      <c r="F10902">
        <v>-4343.2</v>
      </c>
    </row>
    <row r="10903" spans="1:6" hidden="1" x14ac:dyDescent="0.25">
      <c r="A10903" t="s">
        <v>703</v>
      </c>
      <c r="B10903" t="s">
        <v>139</v>
      </c>
      <c r="E10903" s="3">
        <f>HYPERLINK("https://sao.dolgi.msk.ru/account/1404071459/", 1404071459)</f>
        <v>1404071459</v>
      </c>
      <c r="F10903">
        <v>-1163.1500000000001</v>
      </c>
    </row>
    <row r="10904" spans="1:6" hidden="1" x14ac:dyDescent="0.25">
      <c r="A10904" t="s">
        <v>703</v>
      </c>
      <c r="B10904" t="s">
        <v>140</v>
      </c>
      <c r="E10904" s="3">
        <f>HYPERLINK("https://sao.dolgi.msk.ru/account/1404071483/", 1404071483)</f>
        <v>1404071483</v>
      </c>
      <c r="F10904">
        <v>-10475.93</v>
      </c>
    </row>
    <row r="10905" spans="1:6" hidden="1" x14ac:dyDescent="0.25">
      <c r="A10905" t="s">
        <v>703</v>
      </c>
      <c r="B10905" t="s">
        <v>141</v>
      </c>
      <c r="E10905" s="3">
        <f>HYPERLINK("https://sao.dolgi.msk.ru/account/1404071504/", 1404071504)</f>
        <v>1404071504</v>
      </c>
      <c r="F10905">
        <v>-6616.88</v>
      </c>
    </row>
    <row r="10906" spans="1:6" hidden="1" x14ac:dyDescent="0.25">
      <c r="A10906" t="s">
        <v>703</v>
      </c>
      <c r="B10906" t="s">
        <v>142</v>
      </c>
      <c r="E10906" s="3">
        <f>HYPERLINK("https://sao.dolgi.msk.ru/account/1404071539/", 1404071539)</f>
        <v>1404071539</v>
      </c>
      <c r="F10906">
        <v>-5874.13</v>
      </c>
    </row>
    <row r="10907" spans="1:6" hidden="1" x14ac:dyDescent="0.25">
      <c r="A10907" t="s">
        <v>703</v>
      </c>
      <c r="B10907" t="s">
        <v>143</v>
      </c>
      <c r="E10907" s="3">
        <f>HYPERLINK("https://sao.dolgi.msk.ru/account/1404071563/", 1404071563)</f>
        <v>1404071563</v>
      </c>
      <c r="F10907">
        <v>-3004.62</v>
      </c>
    </row>
    <row r="10908" spans="1:6" hidden="1" x14ac:dyDescent="0.25">
      <c r="A10908" t="s">
        <v>703</v>
      </c>
      <c r="B10908" t="s">
        <v>144</v>
      </c>
      <c r="E10908" s="3">
        <f>HYPERLINK("https://sao.dolgi.msk.ru/account/1404071619/", 1404071619)</f>
        <v>1404071619</v>
      </c>
      <c r="F10908">
        <v>-7304.25</v>
      </c>
    </row>
    <row r="10909" spans="1:6" hidden="1" x14ac:dyDescent="0.25">
      <c r="A10909" t="s">
        <v>703</v>
      </c>
      <c r="B10909" t="s">
        <v>145</v>
      </c>
      <c r="E10909" s="3">
        <f>HYPERLINK("https://sao.dolgi.msk.ru/account/1404071635/", 1404071635)</f>
        <v>1404071635</v>
      </c>
      <c r="F10909">
        <v>-7738.97</v>
      </c>
    </row>
    <row r="10910" spans="1:6" hidden="1" x14ac:dyDescent="0.25">
      <c r="A10910" t="s">
        <v>703</v>
      </c>
      <c r="B10910" t="s">
        <v>146</v>
      </c>
      <c r="E10910" s="3">
        <f>HYPERLINK("https://sao.dolgi.msk.ru/account/1404071678/", 1404071678)</f>
        <v>1404071678</v>
      </c>
      <c r="F10910">
        <v>-3829.56</v>
      </c>
    </row>
    <row r="10911" spans="1:6" hidden="1" x14ac:dyDescent="0.25">
      <c r="A10911" t="s">
        <v>703</v>
      </c>
      <c r="B10911" t="s">
        <v>147</v>
      </c>
      <c r="E10911" s="3">
        <f>HYPERLINK("https://sao.dolgi.msk.ru/account/1404071707/", 1404071707)</f>
        <v>1404071707</v>
      </c>
      <c r="F10911">
        <v>0</v>
      </c>
    </row>
    <row r="10912" spans="1:6" hidden="1" x14ac:dyDescent="0.25">
      <c r="A10912" t="s">
        <v>703</v>
      </c>
      <c r="B10912" t="s">
        <v>148</v>
      </c>
      <c r="E10912" s="3">
        <f>HYPERLINK("https://sao.dolgi.msk.ru/account/1404071758/", 1404071758)</f>
        <v>1404071758</v>
      </c>
      <c r="F10912">
        <v>-5577.42</v>
      </c>
    </row>
    <row r="10913" spans="1:6" hidden="1" x14ac:dyDescent="0.25">
      <c r="A10913" t="s">
        <v>703</v>
      </c>
      <c r="B10913" t="s">
        <v>149</v>
      </c>
      <c r="E10913" s="3">
        <f>HYPERLINK("https://sao.dolgi.msk.ru/account/1404071774/", 1404071774)</f>
        <v>1404071774</v>
      </c>
      <c r="F10913">
        <v>-8061.62</v>
      </c>
    </row>
    <row r="10914" spans="1:6" hidden="1" x14ac:dyDescent="0.25">
      <c r="A10914" t="s">
        <v>703</v>
      </c>
      <c r="B10914" t="s">
        <v>150</v>
      </c>
      <c r="E10914" s="3">
        <f>HYPERLINK("https://sao.dolgi.msk.ru/account/1404071803/", 1404071803)</f>
        <v>1404071803</v>
      </c>
      <c r="F10914">
        <v>-4492.7</v>
      </c>
    </row>
    <row r="10915" spans="1:6" hidden="1" x14ac:dyDescent="0.25">
      <c r="A10915" t="s">
        <v>703</v>
      </c>
      <c r="B10915" t="s">
        <v>151</v>
      </c>
      <c r="E10915" s="3">
        <f>HYPERLINK("https://sao.dolgi.msk.ru/account/1404071811/", 1404071811)</f>
        <v>1404071811</v>
      </c>
      <c r="F10915">
        <v>-3342.45</v>
      </c>
    </row>
    <row r="10916" spans="1:6" hidden="1" x14ac:dyDescent="0.25">
      <c r="A10916" t="s">
        <v>703</v>
      </c>
      <c r="B10916" t="s">
        <v>152</v>
      </c>
      <c r="E10916" s="3">
        <f>HYPERLINK("https://sao.dolgi.msk.ru/account/1404071846/", 1404071846)</f>
        <v>1404071846</v>
      </c>
      <c r="F10916">
        <v>-7462.92</v>
      </c>
    </row>
    <row r="10917" spans="1:6" x14ac:dyDescent="0.25">
      <c r="A10917" t="s">
        <v>703</v>
      </c>
      <c r="B10917" t="s">
        <v>153</v>
      </c>
      <c r="C10917" s="5" t="str">
        <f>" кв. "&amp;B10917</f>
        <v xml:space="preserve"> кв. 149</v>
      </c>
      <c r="D10917" s="5" t="str">
        <f>CONCATENATE(A10917,C10917)</f>
        <v>Смольная ул., дом 57 к.1 кв. 149</v>
      </c>
      <c r="E10917" s="3">
        <f>HYPERLINK("https://sao.dolgi.msk.ru/account/1404071862/", 1404071862)</f>
        <v>1404071862</v>
      </c>
      <c r="F10917">
        <v>121341.03</v>
      </c>
    </row>
    <row r="10918" spans="1:6" hidden="1" x14ac:dyDescent="0.25">
      <c r="A10918" t="s">
        <v>703</v>
      </c>
      <c r="B10918" t="s">
        <v>154</v>
      </c>
      <c r="E10918" s="3">
        <f>HYPERLINK("https://sao.dolgi.msk.ru/account/1404071889/", 1404071889)</f>
        <v>1404071889</v>
      </c>
      <c r="F10918">
        <v>-5730.36</v>
      </c>
    </row>
    <row r="10919" spans="1:6" hidden="1" x14ac:dyDescent="0.25">
      <c r="A10919" t="s">
        <v>703</v>
      </c>
      <c r="B10919" t="s">
        <v>155</v>
      </c>
      <c r="E10919" s="3">
        <f>HYPERLINK("https://sao.dolgi.msk.ru/account/1404071897/", 1404071897)</f>
        <v>1404071897</v>
      </c>
      <c r="F10919">
        <v>-10340.91</v>
      </c>
    </row>
    <row r="10920" spans="1:6" hidden="1" x14ac:dyDescent="0.25">
      <c r="A10920" t="s">
        <v>703</v>
      </c>
      <c r="B10920" t="s">
        <v>156</v>
      </c>
      <c r="E10920" s="3">
        <f>HYPERLINK("https://sao.dolgi.msk.ru/account/1404071926/", 1404071926)</f>
        <v>1404071926</v>
      </c>
      <c r="F10920">
        <v>-7191.42</v>
      </c>
    </row>
    <row r="10921" spans="1:6" hidden="1" x14ac:dyDescent="0.25">
      <c r="A10921" t="s">
        <v>703</v>
      </c>
      <c r="B10921" t="s">
        <v>157</v>
      </c>
      <c r="E10921" s="3">
        <f>HYPERLINK("https://sao.dolgi.msk.ru/account/1404071942/", 1404071942)</f>
        <v>1404071942</v>
      </c>
      <c r="F10921">
        <v>-6777.02</v>
      </c>
    </row>
    <row r="10922" spans="1:6" hidden="1" x14ac:dyDescent="0.25">
      <c r="A10922" t="s">
        <v>703</v>
      </c>
      <c r="B10922" t="s">
        <v>158</v>
      </c>
      <c r="E10922" s="3">
        <f>HYPERLINK("https://sao.dolgi.msk.ru/account/1404071985/", 1404071985)</f>
        <v>1404071985</v>
      </c>
      <c r="F10922">
        <v>-1512</v>
      </c>
    </row>
    <row r="10923" spans="1:6" hidden="1" x14ac:dyDescent="0.25">
      <c r="A10923" t="s">
        <v>703</v>
      </c>
      <c r="B10923" t="s">
        <v>159</v>
      </c>
      <c r="E10923" s="3">
        <f>HYPERLINK("https://sao.dolgi.msk.ru/account/1404072013/", 1404072013)</f>
        <v>1404072013</v>
      </c>
      <c r="F10923">
        <v>-3752.68</v>
      </c>
    </row>
    <row r="10924" spans="1:6" hidden="1" x14ac:dyDescent="0.25">
      <c r="A10924" t="s">
        <v>703</v>
      </c>
      <c r="B10924" t="s">
        <v>160</v>
      </c>
      <c r="E10924" s="3">
        <f>HYPERLINK("https://sao.dolgi.msk.ru/account/1404072056/", 1404072056)</f>
        <v>1404072056</v>
      </c>
      <c r="F10924">
        <v>-2153.61</v>
      </c>
    </row>
    <row r="10925" spans="1:6" hidden="1" x14ac:dyDescent="0.25">
      <c r="A10925" t="s">
        <v>703</v>
      </c>
      <c r="B10925" t="s">
        <v>161</v>
      </c>
      <c r="E10925" s="3">
        <f>HYPERLINK("https://sao.dolgi.msk.ru/account/1404072072/", 1404072072)</f>
        <v>1404072072</v>
      </c>
      <c r="F10925">
        <v>-4617.18</v>
      </c>
    </row>
    <row r="10926" spans="1:6" hidden="1" x14ac:dyDescent="0.25">
      <c r="A10926" t="s">
        <v>703</v>
      </c>
      <c r="B10926" t="s">
        <v>162</v>
      </c>
      <c r="E10926" s="3">
        <f>HYPERLINK("https://sao.dolgi.msk.ru/account/1404072099/", 1404072099)</f>
        <v>1404072099</v>
      </c>
      <c r="F10926">
        <v>-6710.76</v>
      </c>
    </row>
    <row r="10927" spans="1:6" hidden="1" x14ac:dyDescent="0.25">
      <c r="A10927" t="s">
        <v>703</v>
      </c>
      <c r="B10927" t="s">
        <v>163</v>
      </c>
      <c r="E10927" s="3">
        <f>HYPERLINK("https://sao.dolgi.msk.ru/account/1404072128/", 1404072128)</f>
        <v>1404072128</v>
      </c>
      <c r="F10927">
        <v>-4835.55</v>
      </c>
    </row>
    <row r="10928" spans="1:6" hidden="1" x14ac:dyDescent="0.25">
      <c r="A10928" t="s">
        <v>703</v>
      </c>
      <c r="B10928" t="s">
        <v>164</v>
      </c>
      <c r="E10928" s="3">
        <f>HYPERLINK("https://sao.dolgi.msk.ru/account/1404072136/", 1404072136)</f>
        <v>1404072136</v>
      </c>
      <c r="F10928">
        <v>-5291.67</v>
      </c>
    </row>
    <row r="10929" spans="1:6" hidden="1" x14ac:dyDescent="0.25">
      <c r="A10929" t="s">
        <v>703</v>
      </c>
      <c r="B10929" t="s">
        <v>165</v>
      </c>
      <c r="E10929" s="3">
        <f>HYPERLINK("https://sao.dolgi.msk.ru/account/1404072179/", 1404072179)</f>
        <v>1404072179</v>
      </c>
      <c r="F10929">
        <v>-6021.32</v>
      </c>
    </row>
    <row r="10930" spans="1:6" hidden="1" x14ac:dyDescent="0.25">
      <c r="A10930" t="s">
        <v>703</v>
      </c>
      <c r="B10930" t="s">
        <v>166</v>
      </c>
      <c r="E10930" s="3">
        <f>HYPERLINK("https://sao.dolgi.msk.ru/account/1404072195/", 1404072195)</f>
        <v>1404072195</v>
      </c>
      <c r="F10930">
        <v>-4577.6099999999997</v>
      </c>
    </row>
    <row r="10931" spans="1:6" hidden="1" x14ac:dyDescent="0.25">
      <c r="A10931" t="s">
        <v>703</v>
      </c>
      <c r="B10931" t="s">
        <v>167</v>
      </c>
      <c r="E10931" s="3">
        <f>HYPERLINK("https://sao.dolgi.msk.ru/account/1404072216/", 1404072216)</f>
        <v>1404072216</v>
      </c>
      <c r="F10931">
        <v>-3476.47</v>
      </c>
    </row>
    <row r="10932" spans="1:6" hidden="1" x14ac:dyDescent="0.25">
      <c r="A10932" t="s">
        <v>703</v>
      </c>
      <c r="B10932" t="s">
        <v>168</v>
      </c>
      <c r="E10932" s="3">
        <f>HYPERLINK("https://sao.dolgi.msk.ru/account/1404072232/", 1404072232)</f>
        <v>1404072232</v>
      </c>
      <c r="F10932">
        <v>0</v>
      </c>
    </row>
    <row r="10933" spans="1:6" hidden="1" x14ac:dyDescent="0.25">
      <c r="A10933" t="s">
        <v>703</v>
      </c>
      <c r="B10933" t="s">
        <v>169</v>
      </c>
      <c r="E10933" s="3">
        <f>HYPERLINK("https://sao.dolgi.msk.ru/account/1404072275/", 1404072275)</f>
        <v>1404072275</v>
      </c>
      <c r="F10933">
        <v>0</v>
      </c>
    </row>
    <row r="10934" spans="1:6" hidden="1" x14ac:dyDescent="0.25">
      <c r="A10934" t="s">
        <v>703</v>
      </c>
      <c r="B10934" t="s">
        <v>170</v>
      </c>
      <c r="E10934" s="3">
        <f>HYPERLINK("https://sao.dolgi.msk.ru/account/1404072291/", 1404072291)</f>
        <v>1404072291</v>
      </c>
      <c r="F10934">
        <v>-5450.75</v>
      </c>
    </row>
    <row r="10935" spans="1:6" hidden="1" x14ac:dyDescent="0.25">
      <c r="A10935" t="s">
        <v>703</v>
      </c>
      <c r="B10935" t="s">
        <v>171</v>
      </c>
      <c r="E10935" s="3">
        <f>HYPERLINK("https://sao.dolgi.msk.ru/account/1404072312/", 1404072312)</f>
        <v>1404072312</v>
      </c>
      <c r="F10935">
        <v>-1891.5</v>
      </c>
    </row>
    <row r="10936" spans="1:6" hidden="1" x14ac:dyDescent="0.25">
      <c r="A10936" t="s">
        <v>703</v>
      </c>
      <c r="B10936" t="s">
        <v>172</v>
      </c>
      <c r="E10936" s="3">
        <f>HYPERLINK("https://sao.dolgi.msk.ru/account/1404072347/", 1404072347)</f>
        <v>1404072347</v>
      </c>
      <c r="F10936">
        <v>0</v>
      </c>
    </row>
    <row r="10937" spans="1:6" hidden="1" x14ac:dyDescent="0.25">
      <c r="A10937" t="s">
        <v>703</v>
      </c>
      <c r="B10937" t="s">
        <v>173</v>
      </c>
      <c r="E10937" s="3">
        <f>HYPERLINK("https://sao.dolgi.msk.ru/account/1404072363/", 1404072363)</f>
        <v>1404072363</v>
      </c>
      <c r="F10937">
        <v>-6529.49</v>
      </c>
    </row>
    <row r="10938" spans="1:6" hidden="1" x14ac:dyDescent="0.25">
      <c r="A10938" t="s">
        <v>703</v>
      </c>
      <c r="B10938" t="s">
        <v>174</v>
      </c>
      <c r="E10938" s="3">
        <f>HYPERLINK("https://sao.dolgi.msk.ru/account/1404072398/", 1404072398)</f>
        <v>1404072398</v>
      </c>
      <c r="F10938">
        <v>-457.96</v>
      </c>
    </row>
    <row r="10939" spans="1:6" hidden="1" x14ac:dyDescent="0.25">
      <c r="A10939" t="s">
        <v>703</v>
      </c>
      <c r="B10939" t="s">
        <v>175</v>
      </c>
      <c r="E10939" s="3">
        <f>HYPERLINK("https://sao.dolgi.msk.ru/account/1404072427/", 1404072427)</f>
        <v>1404072427</v>
      </c>
      <c r="F10939">
        <v>-3469.55</v>
      </c>
    </row>
    <row r="10940" spans="1:6" hidden="1" x14ac:dyDescent="0.25">
      <c r="A10940" t="s">
        <v>703</v>
      </c>
      <c r="B10940" t="s">
        <v>176</v>
      </c>
      <c r="E10940" s="3">
        <f>HYPERLINK("https://sao.dolgi.msk.ru/account/1404072443/", 1404072443)</f>
        <v>1404072443</v>
      </c>
      <c r="F10940">
        <v>-7725.19</v>
      </c>
    </row>
    <row r="10941" spans="1:6" x14ac:dyDescent="0.25">
      <c r="A10941" t="s">
        <v>703</v>
      </c>
      <c r="B10941" t="s">
        <v>177</v>
      </c>
      <c r="C10941" s="5" t="str">
        <f>" кв. "&amp;B10941</f>
        <v xml:space="preserve"> кв. 173</v>
      </c>
      <c r="D10941" s="5" t="str">
        <f>CONCATENATE(A10941,C10941)</f>
        <v>Смольная ул., дом 57 к.1 кв. 173</v>
      </c>
      <c r="E10941" s="3">
        <f>HYPERLINK("https://sao.dolgi.msk.ru/account/1404072478/", 1404072478)</f>
        <v>1404072478</v>
      </c>
      <c r="F10941">
        <v>7239.39</v>
      </c>
    </row>
    <row r="10942" spans="1:6" hidden="1" x14ac:dyDescent="0.25">
      <c r="A10942" t="s">
        <v>703</v>
      </c>
      <c r="B10942" t="s">
        <v>178</v>
      </c>
      <c r="E10942" s="3">
        <f>HYPERLINK("https://sao.dolgi.msk.ru/account/1404072486/", 1404072486)</f>
        <v>1404072486</v>
      </c>
      <c r="F10942">
        <v>-9830.86</v>
      </c>
    </row>
    <row r="10943" spans="1:6" hidden="1" x14ac:dyDescent="0.25">
      <c r="A10943" t="s">
        <v>703</v>
      </c>
      <c r="B10943" t="s">
        <v>179</v>
      </c>
      <c r="E10943" s="3">
        <f>HYPERLINK("https://sao.dolgi.msk.ru/account/1404072523/", 1404072523)</f>
        <v>1404072523</v>
      </c>
      <c r="F10943">
        <v>-5804.63</v>
      </c>
    </row>
    <row r="10944" spans="1:6" x14ac:dyDescent="0.25">
      <c r="A10944" t="s">
        <v>703</v>
      </c>
      <c r="B10944" t="s">
        <v>180</v>
      </c>
      <c r="C10944" s="5" t="str">
        <f>" кв. "&amp;B10944</f>
        <v xml:space="preserve"> кв. 176</v>
      </c>
      <c r="D10944" s="5" t="str">
        <f>CONCATENATE(A10944,C10944)</f>
        <v>Смольная ул., дом 57 к.1 кв. 176</v>
      </c>
      <c r="E10944" s="3">
        <f>HYPERLINK("https://sao.dolgi.msk.ru/account/1404072558/", 1404072558)</f>
        <v>1404072558</v>
      </c>
      <c r="F10944">
        <v>5289.34</v>
      </c>
    </row>
    <row r="10945" spans="1:6" hidden="1" x14ac:dyDescent="0.25">
      <c r="A10945" t="s">
        <v>703</v>
      </c>
      <c r="B10945" t="s">
        <v>181</v>
      </c>
      <c r="E10945" s="3">
        <f>HYPERLINK("https://sao.dolgi.msk.ru/account/1404072574/", 1404072574)</f>
        <v>1404072574</v>
      </c>
      <c r="F10945">
        <v>-7785.88</v>
      </c>
    </row>
    <row r="10946" spans="1:6" hidden="1" x14ac:dyDescent="0.25">
      <c r="A10946" t="s">
        <v>703</v>
      </c>
      <c r="B10946" t="s">
        <v>182</v>
      </c>
      <c r="E10946" s="3">
        <f>HYPERLINK("https://sao.dolgi.msk.ru/account/1404072582/", 1404072582)</f>
        <v>1404072582</v>
      </c>
      <c r="F10946">
        <v>-5930.42</v>
      </c>
    </row>
    <row r="10947" spans="1:6" hidden="1" x14ac:dyDescent="0.25">
      <c r="A10947" t="s">
        <v>703</v>
      </c>
      <c r="B10947" t="s">
        <v>183</v>
      </c>
      <c r="E10947" s="3">
        <f>HYPERLINK("https://sao.dolgi.msk.ru/account/1404072611/", 1404072611)</f>
        <v>1404072611</v>
      </c>
      <c r="F10947">
        <v>-7430.05</v>
      </c>
    </row>
    <row r="10948" spans="1:6" hidden="1" x14ac:dyDescent="0.25">
      <c r="A10948" t="s">
        <v>703</v>
      </c>
      <c r="B10948" t="s">
        <v>184</v>
      </c>
      <c r="E10948" s="3">
        <f>HYPERLINK("https://sao.dolgi.msk.ru/account/1404072638/", 1404072638)</f>
        <v>1404072638</v>
      </c>
      <c r="F10948">
        <v>-1522.42</v>
      </c>
    </row>
    <row r="10949" spans="1:6" hidden="1" x14ac:dyDescent="0.25">
      <c r="A10949" t="s">
        <v>703</v>
      </c>
      <c r="B10949" t="s">
        <v>185</v>
      </c>
      <c r="E10949" s="3">
        <f>HYPERLINK("https://sao.dolgi.msk.ru/account/1404072689/", 1404072689)</f>
        <v>1404072689</v>
      </c>
      <c r="F10949">
        <v>-7017.07</v>
      </c>
    </row>
    <row r="10950" spans="1:6" hidden="1" x14ac:dyDescent="0.25">
      <c r="A10950" t="s">
        <v>703</v>
      </c>
      <c r="B10950" t="s">
        <v>186</v>
      </c>
      <c r="E10950" s="3">
        <f>HYPERLINK("https://sao.dolgi.msk.ru/account/1404072718/", 1404072718)</f>
        <v>1404072718</v>
      </c>
      <c r="F10950">
        <v>-2925.01</v>
      </c>
    </row>
    <row r="10951" spans="1:6" hidden="1" x14ac:dyDescent="0.25">
      <c r="A10951" t="s">
        <v>703</v>
      </c>
      <c r="B10951" t="s">
        <v>187</v>
      </c>
      <c r="E10951" s="3">
        <f>HYPERLINK("https://sao.dolgi.msk.ru/account/1404072726/", 1404072726)</f>
        <v>1404072726</v>
      </c>
      <c r="F10951">
        <v>-5377.97</v>
      </c>
    </row>
    <row r="10952" spans="1:6" hidden="1" x14ac:dyDescent="0.25">
      <c r="A10952" t="s">
        <v>703</v>
      </c>
      <c r="B10952" t="s">
        <v>188</v>
      </c>
      <c r="E10952" s="3">
        <f>HYPERLINK("https://sao.dolgi.msk.ru/account/1404072769/", 1404072769)</f>
        <v>1404072769</v>
      </c>
      <c r="F10952">
        <v>0</v>
      </c>
    </row>
    <row r="10953" spans="1:6" hidden="1" x14ac:dyDescent="0.25">
      <c r="A10953" t="s">
        <v>703</v>
      </c>
      <c r="B10953" t="s">
        <v>189</v>
      </c>
      <c r="E10953" s="3">
        <f>HYPERLINK("https://sao.dolgi.msk.ru/account/1404072785/", 1404072785)</f>
        <v>1404072785</v>
      </c>
      <c r="F10953">
        <v>-8597.16</v>
      </c>
    </row>
    <row r="10954" spans="1:6" hidden="1" x14ac:dyDescent="0.25">
      <c r="A10954" t="s">
        <v>703</v>
      </c>
      <c r="B10954" t="s">
        <v>190</v>
      </c>
      <c r="E10954" s="3">
        <f>HYPERLINK("https://sao.dolgi.msk.ru/account/1404072814/", 1404072814)</f>
        <v>1404072814</v>
      </c>
      <c r="F10954">
        <v>-5775.42</v>
      </c>
    </row>
    <row r="10955" spans="1:6" hidden="1" x14ac:dyDescent="0.25">
      <c r="A10955" t="s">
        <v>703</v>
      </c>
      <c r="B10955" t="s">
        <v>191</v>
      </c>
      <c r="E10955" s="3">
        <f>HYPERLINK("https://sao.dolgi.msk.ru/account/1404073163/", 1404073163)</f>
        <v>1404073163</v>
      </c>
      <c r="F10955">
        <v>-4666.6499999999996</v>
      </c>
    </row>
    <row r="10956" spans="1:6" hidden="1" x14ac:dyDescent="0.25">
      <c r="A10956" t="s">
        <v>703</v>
      </c>
      <c r="B10956" t="s">
        <v>192</v>
      </c>
      <c r="E10956" s="3">
        <f>HYPERLINK("https://sao.dolgi.msk.ru/account/1404073198/", 1404073198)</f>
        <v>1404073198</v>
      </c>
      <c r="F10956">
        <v>0</v>
      </c>
    </row>
    <row r="10957" spans="1:6" hidden="1" x14ac:dyDescent="0.25">
      <c r="A10957" t="s">
        <v>703</v>
      </c>
      <c r="B10957" t="s">
        <v>193</v>
      </c>
      <c r="E10957" s="3">
        <f>HYPERLINK("https://sao.dolgi.msk.ru/account/1404073227/", 1404073227)</f>
        <v>1404073227</v>
      </c>
      <c r="F10957">
        <v>-7862.89</v>
      </c>
    </row>
    <row r="10958" spans="1:6" hidden="1" x14ac:dyDescent="0.25">
      <c r="A10958" t="s">
        <v>703</v>
      </c>
      <c r="B10958" t="s">
        <v>194</v>
      </c>
      <c r="E10958" s="3">
        <f>HYPERLINK("https://sao.dolgi.msk.ru/account/1404073243/", 1404073243)</f>
        <v>1404073243</v>
      </c>
      <c r="F10958">
        <v>-336.04</v>
      </c>
    </row>
    <row r="10959" spans="1:6" hidden="1" x14ac:dyDescent="0.25">
      <c r="A10959" t="s">
        <v>703</v>
      </c>
      <c r="B10959" t="s">
        <v>195</v>
      </c>
      <c r="E10959" s="3">
        <f>HYPERLINK("https://sao.dolgi.msk.ru/account/1404073278/", 1404073278)</f>
        <v>1404073278</v>
      </c>
      <c r="F10959">
        <v>-4716.05</v>
      </c>
    </row>
    <row r="10960" spans="1:6" hidden="1" x14ac:dyDescent="0.25">
      <c r="A10960" t="s">
        <v>703</v>
      </c>
      <c r="B10960" t="s">
        <v>196</v>
      </c>
      <c r="E10960" s="3">
        <f>HYPERLINK("https://sao.dolgi.msk.ru/account/1404073294/", 1404073294)</f>
        <v>1404073294</v>
      </c>
      <c r="F10960">
        <v>0</v>
      </c>
    </row>
    <row r="10961" spans="1:6" hidden="1" x14ac:dyDescent="0.25">
      <c r="A10961" t="s">
        <v>703</v>
      </c>
      <c r="B10961" t="s">
        <v>197</v>
      </c>
      <c r="E10961" s="3">
        <f>HYPERLINK("https://sao.dolgi.msk.ru/account/1404093201/", 1404093201)</f>
        <v>1404093201</v>
      </c>
      <c r="F10961">
        <v>-5982.45</v>
      </c>
    </row>
    <row r="10962" spans="1:6" hidden="1" x14ac:dyDescent="0.25">
      <c r="A10962" t="s">
        <v>703</v>
      </c>
      <c r="B10962" t="s">
        <v>198</v>
      </c>
      <c r="E10962" s="3">
        <f>HYPERLINK("https://sao.dolgi.msk.ru/account/1404073323/", 1404073323)</f>
        <v>1404073323</v>
      </c>
      <c r="F10962">
        <v>-6104.92</v>
      </c>
    </row>
    <row r="10963" spans="1:6" hidden="1" x14ac:dyDescent="0.25">
      <c r="A10963" t="s">
        <v>703</v>
      </c>
      <c r="B10963" t="s">
        <v>199</v>
      </c>
      <c r="E10963" s="3">
        <f>HYPERLINK("https://sao.dolgi.msk.ru/account/1404073358/", 1404073358)</f>
        <v>1404073358</v>
      </c>
      <c r="F10963">
        <v>-5442.29</v>
      </c>
    </row>
    <row r="10964" spans="1:6" hidden="1" x14ac:dyDescent="0.25">
      <c r="A10964" t="s">
        <v>703</v>
      </c>
      <c r="B10964" t="s">
        <v>200</v>
      </c>
      <c r="E10964" s="3">
        <f>HYPERLINK("https://sao.dolgi.msk.ru/account/1404073374/", 1404073374)</f>
        <v>1404073374</v>
      </c>
      <c r="F10964">
        <v>-7962.23</v>
      </c>
    </row>
    <row r="10965" spans="1:6" hidden="1" x14ac:dyDescent="0.25">
      <c r="A10965" t="s">
        <v>703</v>
      </c>
      <c r="B10965" t="s">
        <v>201</v>
      </c>
      <c r="E10965" s="3">
        <f>HYPERLINK("https://sao.dolgi.msk.ru/account/1404091417/", 1404091417)</f>
        <v>1404091417</v>
      </c>
      <c r="F10965">
        <v>0</v>
      </c>
    </row>
    <row r="10966" spans="1:6" hidden="1" x14ac:dyDescent="0.25">
      <c r="A10966" t="s">
        <v>703</v>
      </c>
      <c r="B10966" t="s">
        <v>202</v>
      </c>
      <c r="E10966" s="3">
        <f>HYPERLINK("https://sao.dolgi.msk.ru/account/1404073446/", 1404073446)</f>
        <v>1404073446</v>
      </c>
      <c r="F10966">
        <v>-3359.82</v>
      </c>
    </row>
    <row r="10967" spans="1:6" hidden="1" x14ac:dyDescent="0.25">
      <c r="A10967" t="s">
        <v>703</v>
      </c>
      <c r="B10967" t="s">
        <v>203</v>
      </c>
      <c r="E10967" s="3">
        <f>HYPERLINK("https://sao.dolgi.msk.ru/account/1404073462/", 1404073462)</f>
        <v>1404073462</v>
      </c>
      <c r="F10967">
        <v>-7988.5</v>
      </c>
    </row>
    <row r="10968" spans="1:6" hidden="1" x14ac:dyDescent="0.25">
      <c r="A10968" t="s">
        <v>703</v>
      </c>
      <c r="B10968" t="s">
        <v>204</v>
      </c>
      <c r="E10968" s="3">
        <f>HYPERLINK("https://sao.dolgi.msk.ru/account/1404073518/", 1404073518)</f>
        <v>1404073518</v>
      </c>
      <c r="F10968">
        <v>-5598.6</v>
      </c>
    </row>
    <row r="10969" spans="1:6" hidden="1" x14ac:dyDescent="0.25">
      <c r="A10969" t="s">
        <v>703</v>
      </c>
      <c r="B10969" t="s">
        <v>205</v>
      </c>
      <c r="E10969" s="3">
        <f>HYPERLINK("https://sao.dolgi.msk.ru/account/1404073534/", 1404073534)</f>
        <v>1404073534</v>
      </c>
      <c r="F10969">
        <v>-7468.14</v>
      </c>
    </row>
    <row r="10970" spans="1:6" hidden="1" x14ac:dyDescent="0.25">
      <c r="A10970" t="s">
        <v>703</v>
      </c>
      <c r="B10970" t="s">
        <v>206</v>
      </c>
      <c r="E10970" s="3">
        <f>HYPERLINK("https://sao.dolgi.msk.ru/account/1404073542/", 1404073542)</f>
        <v>1404073542</v>
      </c>
      <c r="F10970">
        <v>-4493.1899999999996</v>
      </c>
    </row>
    <row r="10971" spans="1:6" hidden="1" x14ac:dyDescent="0.25">
      <c r="A10971" t="s">
        <v>703</v>
      </c>
      <c r="B10971" t="s">
        <v>207</v>
      </c>
      <c r="E10971" s="3">
        <f>HYPERLINK("https://sao.dolgi.msk.ru/account/1404073577/", 1404073577)</f>
        <v>1404073577</v>
      </c>
      <c r="F10971">
        <v>-2403.2800000000002</v>
      </c>
    </row>
    <row r="10972" spans="1:6" hidden="1" x14ac:dyDescent="0.25">
      <c r="A10972" t="s">
        <v>703</v>
      </c>
      <c r="B10972" t="s">
        <v>208</v>
      </c>
      <c r="E10972" s="3">
        <f>HYPERLINK("https://sao.dolgi.msk.ru/account/1404073593/", 1404073593)</f>
        <v>1404073593</v>
      </c>
      <c r="F10972">
        <v>-4171.0200000000004</v>
      </c>
    </row>
    <row r="10973" spans="1:6" hidden="1" x14ac:dyDescent="0.25">
      <c r="A10973" t="s">
        <v>703</v>
      </c>
      <c r="B10973" t="s">
        <v>209</v>
      </c>
      <c r="E10973" s="3">
        <f>HYPERLINK("https://sao.dolgi.msk.ru/account/1404073622/", 1404073622)</f>
        <v>1404073622</v>
      </c>
      <c r="F10973">
        <v>-4571.4399999999996</v>
      </c>
    </row>
    <row r="10974" spans="1:6" x14ac:dyDescent="0.25">
      <c r="A10974" t="s">
        <v>703</v>
      </c>
      <c r="B10974" t="s">
        <v>210</v>
      </c>
      <c r="C10974" s="5" t="str">
        <f>" кв. "&amp;B10974</f>
        <v xml:space="preserve"> кв. 206</v>
      </c>
      <c r="D10974" s="5" t="str">
        <f>CONCATENATE(A10974,C10974)</f>
        <v>Смольная ул., дом 57 к.1 кв. 206</v>
      </c>
      <c r="E10974" s="3">
        <f>HYPERLINK("https://sao.dolgi.msk.ru/account/1404073657/", 1404073657)</f>
        <v>1404073657</v>
      </c>
      <c r="F10974">
        <v>4674.33</v>
      </c>
    </row>
    <row r="10975" spans="1:6" hidden="1" x14ac:dyDescent="0.25">
      <c r="A10975" t="s">
        <v>703</v>
      </c>
      <c r="B10975" t="s">
        <v>211</v>
      </c>
      <c r="E10975" s="3">
        <f>HYPERLINK("https://sao.dolgi.msk.ru/account/1404073673/", 1404073673)</f>
        <v>1404073673</v>
      </c>
      <c r="F10975">
        <v>-5488.88</v>
      </c>
    </row>
    <row r="10976" spans="1:6" hidden="1" x14ac:dyDescent="0.25">
      <c r="A10976" t="s">
        <v>703</v>
      </c>
      <c r="B10976" t="s">
        <v>212</v>
      </c>
      <c r="E10976" s="3">
        <f>HYPERLINK("https://sao.dolgi.msk.ru/account/1404073702/", 1404073702)</f>
        <v>1404073702</v>
      </c>
      <c r="F10976">
        <v>0</v>
      </c>
    </row>
    <row r="10977" spans="1:6" hidden="1" x14ac:dyDescent="0.25">
      <c r="A10977" t="s">
        <v>703</v>
      </c>
      <c r="B10977" t="s">
        <v>213</v>
      </c>
      <c r="E10977" s="3">
        <f>HYPERLINK("https://sao.dolgi.msk.ru/account/1404073737/", 1404073737)</f>
        <v>1404073737</v>
      </c>
      <c r="F10977">
        <v>-6871.41</v>
      </c>
    </row>
    <row r="10978" spans="1:6" hidden="1" x14ac:dyDescent="0.25">
      <c r="A10978" t="s">
        <v>703</v>
      </c>
      <c r="B10978" t="s">
        <v>214</v>
      </c>
      <c r="E10978" s="3">
        <f>HYPERLINK("https://sao.dolgi.msk.ru/account/1404073761/", 1404073761)</f>
        <v>1404073761</v>
      </c>
      <c r="F10978">
        <v>-3575.46</v>
      </c>
    </row>
    <row r="10979" spans="1:6" hidden="1" x14ac:dyDescent="0.25">
      <c r="A10979" t="s">
        <v>703</v>
      </c>
      <c r="B10979" t="s">
        <v>215</v>
      </c>
      <c r="E10979" s="3">
        <f>HYPERLINK("https://sao.dolgi.msk.ru/account/1404091425/", 1404091425)</f>
        <v>1404091425</v>
      </c>
      <c r="F10979">
        <v>-4024.87</v>
      </c>
    </row>
    <row r="10980" spans="1:6" hidden="1" x14ac:dyDescent="0.25">
      <c r="A10980" t="s">
        <v>703</v>
      </c>
      <c r="B10980" t="s">
        <v>216</v>
      </c>
      <c r="E10980" s="3">
        <f>HYPERLINK("https://sao.dolgi.msk.ru/account/1404091433/", 1404091433)</f>
        <v>1404091433</v>
      </c>
      <c r="F10980">
        <v>-5560.48</v>
      </c>
    </row>
    <row r="10981" spans="1:6" hidden="1" x14ac:dyDescent="0.25">
      <c r="A10981" t="s">
        <v>703</v>
      </c>
      <c r="B10981" t="s">
        <v>217</v>
      </c>
      <c r="E10981" s="3">
        <f>HYPERLINK("https://sao.dolgi.msk.ru/account/1404073788/", 1404073788)</f>
        <v>1404073788</v>
      </c>
      <c r="F10981">
        <v>-10079.879999999999</v>
      </c>
    </row>
    <row r="10982" spans="1:6" hidden="1" x14ac:dyDescent="0.25">
      <c r="A10982" t="s">
        <v>703</v>
      </c>
      <c r="B10982" t="s">
        <v>218</v>
      </c>
      <c r="E10982" s="3">
        <f>HYPERLINK("https://sao.dolgi.msk.ru/account/1404073809/", 1404073809)</f>
        <v>1404073809</v>
      </c>
      <c r="F10982">
        <v>-5955.48</v>
      </c>
    </row>
    <row r="10983" spans="1:6" hidden="1" x14ac:dyDescent="0.25">
      <c r="A10983" t="s">
        <v>703</v>
      </c>
      <c r="B10983" t="s">
        <v>219</v>
      </c>
      <c r="E10983" s="3">
        <f>HYPERLINK("https://sao.dolgi.msk.ru/account/1404073825/", 1404073825)</f>
        <v>1404073825</v>
      </c>
      <c r="F10983">
        <v>-4500.12</v>
      </c>
    </row>
    <row r="10984" spans="1:6" hidden="1" x14ac:dyDescent="0.25">
      <c r="A10984" t="s">
        <v>703</v>
      </c>
      <c r="B10984" t="s">
        <v>220</v>
      </c>
      <c r="E10984" s="3">
        <f>HYPERLINK("https://sao.dolgi.msk.ru/account/1404073841/", 1404073841)</f>
        <v>1404073841</v>
      </c>
      <c r="F10984">
        <v>-7230.05</v>
      </c>
    </row>
    <row r="10985" spans="1:6" hidden="1" x14ac:dyDescent="0.25">
      <c r="A10985" t="s">
        <v>703</v>
      </c>
      <c r="B10985" t="s">
        <v>221</v>
      </c>
      <c r="E10985" s="3">
        <f>HYPERLINK("https://sao.dolgi.msk.ru/account/1404073892/", 1404073892)</f>
        <v>1404073892</v>
      </c>
      <c r="F10985">
        <v>0</v>
      </c>
    </row>
    <row r="10986" spans="1:6" hidden="1" x14ac:dyDescent="0.25">
      <c r="A10986" t="s">
        <v>703</v>
      </c>
      <c r="B10986" t="s">
        <v>222</v>
      </c>
      <c r="E10986" s="3">
        <f>HYPERLINK("https://sao.dolgi.msk.ru/account/1404073905/", 1404073905)</f>
        <v>1404073905</v>
      </c>
      <c r="F10986">
        <v>-3295.21</v>
      </c>
    </row>
    <row r="10987" spans="1:6" x14ac:dyDescent="0.25">
      <c r="A10987" t="s">
        <v>703</v>
      </c>
      <c r="B10987" t="s">
        <v>223</v>
      </c>
      <c r="C10987" s="5" t="str">
        <f>" кв. "&amp;B10987</f>
        <v xml:space="preserve"> кв. 219</v>
      </c>
      <c r="D10987" s="5" t="str">
        <f>CONCATENATE(A10987,C10987)</f>
        <v>Смольная ул., дом 57 к.1 кв. 219</v>
      </c>
      <c r="E10987" s="3">
        <f>HYPERLINK("https://sao.dolgi.msk.ru/account/1404073729/", 1404073729)</f>
        <v>1404073729</v>
      </c>
      <c r="F10987">
        <v>1801.53</v>
      </c>
    </row>
    <row r="10988" spans="1:6" hidden="1" x14ac:dyDescent="0.25">
      <c r="A10988" t="s">
        <v>703</v>
      </c>
      <c r="B10988" t="s">
        <v>224</v>
      </c>
      <c r="E10988" s="3">
        <f>HYPERLINK("https://sao.dolgi.msk.ru/account/1404073745/", 1404073745)</f>
        <v>1404073745</v>
      </c>
      <c r="F10988">
        <v>-8146.07</v>
      </c>
    </row>
    <row r="10989" spans="1:6" hidden="1" x14ac:dyDescent="0.25">
      <c r="A10989" t="s">
        <v>703</v>
      </c>
      <c r="B10989" t="s">
        <v>225</v>
      </c>
      <c r="E10989" s="3">
        <f>HYPERLINK("https://sao.dolgi.msk.ru/account/1404073753/", 1404073753)</f>
        <v>1404073753</v>
      </c>
      <c r="F10989">
        <v>-2069.91</v>
      </c>
    </row>
    <row r="10990" spans="1:6" hidden="1" x14ac:dyDescent="0.25">
      <c r="A10990" t="s">
        <v>703</v>
      </c>
      <c r="B10990" t="s">
        <v>226</v>
      </c>
      <c r="E10990" s="3">
        <f>HYPERLINK("https://sao.dolgi.msk.ru/account/1404073796/", 1404073796)</f>
        <v>1404073796</v>
      </c>
      <c r="F10990">
        <v>-5301.91</v>
      </c>
    </row>
    <row r="10991" spans="1:6" hidden="1" x14ac:dyDescent="0.25">
      <c r="A10991" t="s">
        <v>703</v>
      </c>
      <c r="B10991" t="s">
        <v>227</v>
      </c>
      <c r="E10991" s="3">
        <f>HYPERLINK("https://sao.dolgi.msk.ru/account/1404073817/", 1404073817)</f>
        <v>1404073817</v>
      </c>
      <c r="F10991">
        <v>0</v>
      </c>
    </row>
    <row r="10992" spans="1:6" hidden="1" x14ac:dyDescent="0.25">
      <c r="A10992" t="s">
        <v>703</v>
      </c>
      <c r="B10992" t="s">
        <v>228</v>
      </c>
      <c r="E10992" s="3">
        <f>HYPERLINK("https://sao.dolgi.msk.ru/account/1404073833/", 1404073833)</f>
        <v>1404073833</v>
      </c>
      <c r="F10992">
        <v>-5171.1899999999996</v>
      </c>
    </row>
    <row r="10993" spans="1:6" hidden="1" x14ac:dyDescent="0.25">
      <c r="A10993" t="s">
        <v>703</v>
      </c>
      <c r="B10993" t="s">
        <v>229</v>
      </c>
      <c r="E10993" s="3">
        <f>HYPERLINK("https://sao.dolgi.msk.ru/account/1404073868/", 1404073868)</f>
        <v>1404073868</v>
      </c>
      <c r="F10993">
        <v>0</v>
      </c>
    </row>
    <row r="10994" spans="1:6" hidden="1" x14ac:dyDescent="0.25">
      <c r="A10994" t="s">
        <v>703</v>
      </c>
      <c r="B10994" t="s">
        <v>230</v>
      </c>
      <c r="E10994" s="3">
        <f>HYPERLINK("https://sao.dolgi.msk.ru/account/1404073876/", 1404073876)</f>
        <v>1404073876</v>
      </c>
      <c r="F10994">
        <v>-3933.86</v>
      </c>
    </row>
    <row r="10995" spans="1:6" hidden="1" x14ac:dyDescent="0.25">
      <c r="A10995" t="s">
        <v>703</v>
      </c>
      <c r="B10995" t="s">
        <v>231</v>
      </c>
      <c r="E10995" s="3">
        <f>HYPERLINK("https://sao.dolgi.msk.ru/account/1404073884/", 1404073884)</f>
        <v>1404073884</v>
      </c>
      <c r="F10995">
        <v>-3887.2</v>
      </c>
    </row>
    <row r="10996" spans="1:6" hidden="1" x14ac:dyDescent="0.25">
      <c r="A10996" t="s">
        <v>703</v>
      </c>
      <c r="B10996" t="s">
        <v>232</v>
      </c>
      <c r="E10996" s="3">
        <f>HYPERLINK("https://sao.dolgi.msk.ru/account/1404073964/", 1404073964)</f>
        <v>1404073964</v>
      </c>
      <c r="F10996">
        <v>-6087.21</v>
      </c>
    </row>
    <row r="10997" spans="1:6" hidden="1" x14ac:dyDescent="0.25">
      <c r="A10997" t="s">
        <v>703</v>
      </c>
      <c r="B10997" t="s">
        <v>233</v>
      </c>
      <c r="E10997" s="3">
        <f>HYPERLINK("https://sao.dolgi.msk.ru/account/1404074019/", 1404074019)</f>
        <v>1404074019</v>
      </c>
      <c r="F10997">
        <v>-7388.65</v>
      </c>
    </row>
    <row r="10998" spans="1:6" hidden="1" x14ac:dyDescent="0.25">
      <c r="A10998" t="s">
        <v>703</v>
      </c>
      <c r="B10998" t="s">
        <v>234</v>
      </c>
      <c r="E10998" s="3">
        <f>HYPERLINK("https://sao.dolgi.msk.ru/account/1404074035/", 1404074035)</f>
        <v>1404074035</v>
      </c>
      <c r="F10998">
        <v>-6716.58</v>
      </c>
    </row>
    <row r="10999" spans="1:6" hidden="1" x14ac:dyDescent="0.25">
      <c r="A10999" t="s">
        <v>703</v>
      </c>
      <c r="B10999" t="s">
        <v>235</v>
      </c>
      <c r="E10999" s="3">
        <f>HYPERLINK("https://sao.dolgi.msk.ru/account/1404074043/", 1404074043)</f>
        <v>1404074043</v>
      </c>
      <c r="F10999">
        <v>-5244.66</v>
      </c>
    </row>
    <row r="11000" spans="1:6" x14ac:dyDescent="0.25">
      <c r="A11000" t="s">
        <v>703</v>
      </c>
      <c r="B11000" t="s">
        <v>239</v>
      </c>
      <c r="C11000" s="5" t="str">
        <f>" кв. "&amp;B11000</f>
        <v xml:space="preserve"> кв. 232</v>
      </c>
      <c r="D11000" s="5" t="str">
        <f>CONCATENATE(A11000,C11000)</f>
        <v>Смольная ул., дом 57 к.1 кв. 232</v>
      </c>
      <c r="E11000" s="3">
        <f>HYPERLINK("https://sao.dolgi.msk.ru/account/1404074078/", 1404074078)</f>
        <v>1404074078</v>
      </c>
      <c r="F11000">
        <v>6505.38</v>
      </c>
    </row>
    <row r="11001" spans="1:6" hidden="1" x14ac:dyDescent="0.25">
      <c r="A11001" t="s">
        <v>703</v>
      </c>
      <c r="B11001" t="s">
        <v>240</v>
      </c>
      <c r="E11001" s="3">
        <f>HYPERLINK("https://sao.dolgi.msk.ru/account/1404074094/", 1404074094)</f>
        <v>1404074094</v>
      </c>
      <c r="F11001">
        <v>-6919.24</v>
      </c>
    </row>
    <row r="11002" spans="1:6" hidden="1" x14ac:dyDescent="0.25">
      <c r="A11002" t="s">
        <v>703</v>
      </c>
      <c r="B11002" t="s">
        <v>241</v>
      </c>
      <c r="E11002" s="3">
        <f>HYPERLINK("https://sao.dolgi.msk.ru/account/1404074115/", 1404074115)</f>
        <v>1404074115</v>
      </c>
      <c r="F11002">
        <v>0</v>
      </c>
    </row>
    <row r="11003" spans="1:6" x14ac:dyDescent="0.25">
      <c r="A11003" t="s">
        <v>703</v>
      </c>
      <c r="B11003" t="s">
        <v>242</v>
      </c>
      <c r="C11003" s="5" t="str">
        <f>" кв. "&amp;B11003</f>
        <v xml:space="preserve"> кв. 235</v>
      </c>
      <c r="D11003" s="5" t="str">
        <f>CONCATENATE(A11003,C11003)</f>
        <v>Смольная ул., дом 57 к.1 кв. 235</v>
      </c>
      <c r="E11003" s="3">
        <f>HYPERLINK("https://sao.dolgi.msk.ru/account/1404074123/", 1404074123)</f>
        <v>1404074123</v>
      </c>
      <c r="F11003">
        <v>4910.96</v>
      </c>
    </row>
    <row r="11004" spans="1:6" hidden="1" x14ac:dyDescent="0.25">
      <c r="A11004" t="s">
        <v>703</v>
      </c>
      <c r="B11004" t="s">
        <v>243</v>
      </c>
      <c r="E11004" s="3">
        <f>HYPERLINK("https://sao.dolgi.msk.ru/account/1404074131/", 1404074131)</f>
        <v>1404074131</v>
      </c>
      <c r="F11004">
        <v>-5157.3500000000004</v>
      </c>
    </row>
    <row r="11005" spans="1:6" hidden="1" x14ac:dyDescent="0.25">
      <c r="A11005" t="s">
        <v>703</v>
      </c>
      <c r="B11005" t="s">
        <v>244</v>
      </c>
      <c r="E11005" s="3">
        <f>HYPERLINK("https://sao.dolgi.msk.ru/account/1404074158/", 1404074158)</f>
        <v>1404074158</v>
      </c>
      <c r="F11005">
        <v>-5185.05</v>
      </c>
    </row>
    <row r="11006" spans="1:6" hidden="1" x14ac:dyDescent="0.25">
      <c r="A11006" t="s">
        <v>703</v>
      </c>
      <c r="B11006" t="s">
        <v>245</v>
      </c>
      <c r="E11006" s="3">
        <f>HYPERLINK("https://sao.dolgi.msk.ru/account/1404074166/", 1404074166)</f>
        <v>1404074166</v>
      </c>
      <c r="F11006">
        <v>-4141.24</v>
      </c>
    </row>
    <row r="11007" spans="1:6" x14ac:dyDescent="0.25">
      <c r="A11007" t="s">
        <v>703</v>
      </c>
      <c r="B11007" t="s">
        <v>246</v>
      </c>
      <c r="C11007" s="5" t="str">
        <f>" кв. "&amp;B11007</f>
        <v xml:space="preserve"> кв. 239</v>
      </c>
      <c r="D11007" s="5" t="str">
        <f>CONCATENATE(A11007,C11007)</f>
        <v>Смольная ул., дом 57 к.1 кв. 239</v>
      </c>
      <c r="E11007" s="3">
        <f>HYPERLINK("https://sao.dolgi.msk.ru/account/1404074174/", 1404074174)</f>
        <v>1404074174</v>
      </c>
      <c r="F11007">
        <v>3739.08</v>
      </c>
    </row>
    <row r="11008" spans="1:6" hidden="1" x14ac:dyDescent="0.25">
      <c r="A11008" t="s">
        <v>703</v>
      </c>
      <c r="B11008" t="s">
        <v>247</v>
      </c>
      <c r="E11008" s="3">
        <f>HYPERLINK("https://sao.dolgi.msk.ru/account/1404074182/", 1404074182)</f>
        <v>1404074182</v>
      </c>
      <c r="F11008">
        <v>-7354.7</v>
      </c>
    </row>
    <row r="11009" spans="1:6" x14ac:dyDescent="0.25">
      <c r="A11009" t="s">
        <v>703</v>
      </c>
      <c r="B11009" t="s">
        <v>248</v>
      </c>
      <c r="C11009" s="5" t="str">
        <f t="shared" ref="C11009:C11010" si="458">" кв. "&amp;B11009</f>
        <v xml:space="preserve"> кв. 241</v>
      </c>
      <c r="D11009" s="5" t="str">
        <f>CONCATENATE(A11009,C11009)</f>
        <v>Смольная ул., дом 57 к.1 кв. 241</v>
      </c>
      <c r="E11009" s="3">
        <f>HYPERLINK("https://sao.dolgi.msk.ru/account/1404074203/", 1404074203)</f>
        <v>1404074203</v>
      </c>
      <c r="F11009">
        <v>3209.22</v>
      </c>
    </row>
    <row r="11010" spans="1:6" x14ac:dyDescent="0.25">
      <c r="A11010" t="s">
        <v>703</v>
      </c>
      <c r="B11010" t="s">
        <v>248</v>
      </c>
      <c r="C11010" s="5" t="str">
        <f t="shared" si="458"/>
        <v xml:space="preserve"> кв. 241</v>
      </c>
      <c r="D11010" s="5" t="str">
        <f>CONCATENATE(A11010,C11010)</f>
        <v>Смольная ул., дом 57 к.1 кв. 241</v>
      </c>
      <c r="E11010" s="3">
        <f>HYPERLINK("https://sao.dolgi.msk.ru/account/1404091206/", 1404091206)</f>
        <v>1404091206</v>
      </c>
      <c r="F11010">
        <v>2397.37</v>
      </c>
    </row>
    <row r="11011" spans="1:6" hidden="1" x14ac:dyDescent="0.25">
      <c r="A11011" t="s">
        <v>703</v>
      </c>
      <c r="B11011" t="s">
        <v>249</v>
      </c>
      <c r="E11011" s="3">
        <f>HYPERLINK("https://sao.dolgi.msk.ru/account/1404074246/", 1404074246)</f>
        <v>1404074246</v>
      </c>
      <c r="F11011">
        <v>-6041.1</v>
      </c>
    </row>
    <row r="11012" spans="1:6" hidden="1" x14ac:dyDescent="0.25">
      <c r="A11012" t="s">
        <v>703</v>
      </c>
      <c r="B11012" t="s">
        <v>250</v>
      </c>
      <c r="E11012" s="3">
        <f>HYPERLINK("https://sao.dolgi.msk.ru/account/1404074262/", 1404074262)</f>
        <v>1404074262</v>
      </c>
      <c r="F11012">
        <v>-5718.97</v>
      </c>
    </row>
    <row r="11013" spans="1:6" hidden="1" x14ac:dyDescent="0.25">
      <c r="A11013" t="s">
        <v>703</v>
      </c>
      <c r="B11013" t="s">
        <v>251</v>
      </c>
      <c r="E11013" s="3">
        <f>HYPERLINK("https://sao.dolgi.msk.ru/account/1404073921/", 1404073921)</f>
        <v>1404073921</v>
      </c>
      <c r="F11013">
        <v>-2086.6799999999998</v>
      </c>
    </row>
    <row r="11014" spans="1:6" hidden="1" x14ac:dyDescent="0.25">
      <c r="A11014" t="s">
        <v>703</v>
      </c>
      <c r="B11014" t="s">
        <v>252</v>
      </c>
      <c r="E11014" s="3">
        <f>HYPERLINK("https://sao.dolgi.msk.ru/account/1404073948/", 1404073948)</f>
        <v>1404073948</v>
      </c>
      <c r="F11014">
        <v>0</v>
      </c>
    </row>
    <row r="11015" spans="1:6" hidden="1" x14ac:dyDescent="0.25">
      <c r="A11015" t="s">
        <v>703</v>
      </c>
      <c r="B11015" t="s">
        <v>253</v>
      </c>
      <c r="E11015" s="3">
        <f>HYPERLINK("https://sao.dolgi.msk.ru/account/1404073956/", 1404073956)</f>
        <v>1404073956</v>
      </c>
      <c r="F11015">
        <v>-4133</v>
      </c>
    </row>
    <row r="11016" spans="1:6" hidden="1" x14ac:dyDescent="0.25">
      <c r="A11016" t="s">
        <v>703</v>
      </c>
      <c r="B11016" t="s">
        <v>254</v>
      </c>
      <c r="E11016" s="3">
        <f>HYPERLINK("https://sao.dolgi.msk.ru/account/1404073972/", 1404073972)</f>
        <v>1404073972</v>
      </c>
      <c r="F11016">
        <v>-5246.02</v>
      </c>
    </row>
    <row r="11017" spans="1:6" hidden="1" x14ac:dyDescent="0.25">
      <c r="A11017" t="s">
        <v>703</v>
      </c>
      <c r="B11017" t="s">
        <v>255</v>
      </c>
      <c r="E11017" s="3">
        <f>HYPERLINK("https://sao.dolgi.msk.ru/account/1404073999/", 1404073999)</f>
        <v>1404073999</v>
      </c>
      <c r="F11017">
        <v>-7293.27</v>
      </c>
    </row>
    <row r="11018" spans="1:6" hidden="1" x14ac:dyDescent="0.25">
      <c r="A11018" t="s">
        <v>703</v>
      </c>
      <c r="B11018" t="s">
        <v>256</v>
      </c>
      <c r="E11018" s="3">
        <f>HYPERLINK("https://sao.dolgi.msk.ru/account/1404074027/", 1404074027)</f>
        <v>1404074027</v>
      </c>
      <c r="F11018">
        <v>-7784.85</v>
      </c>
    </row>
    <row r="11019" spans="1:6" hidden="1" x14ac:dyDescent="0.25">
      <c r="A11019" t="s">
        <v>703</v>
      </c>
      <c r="B11019" t="s">
        <v>257</v>
      </c>
      <c r="E11019" s="3">
        <f>HYPERLINK("https://sao.dolgi.msk.ru/account/1404074051/", 1404074051)</f>
        <v>1404074051</v>
      </c>
      <c r="F11019">
        <v>-4951.2</v>
      </c>
    </row>
    <row r="11020" spans="1:6" hidden="1" x14ac:dyDescent="0.25">
      <c r="A11020" t="s">
        <v>703</v>
      </c>
      <c r="B11020" t="s">
        <v>258</v>
      </c>
      <c r="E11020" s="3">
        <f>HYPERLINK("https://sao.dolgi.msk.ru/account/1404074086/", 1404074086)</f>
        <v>1404074086</v>
      </c>
      <c r="F11020">
        <v>-4787.95</v>
      </c>
    </row>
    <row r="11021" spans="1:6" hidden="1" x14ac:dyDescent="0.25">
      <c r="A11021" t="s">
        <v>703</v>
      </c>
      <c r="B11021" t="s">
        <v>259</v>
      </c>
      <c r="E11021" s="3">
        <f>HYPERLINK("https://sao.dolgi.msk.ru/account/1404074107/", 1404074107)</f>
        <v>1404074107</v>
      </c>
      <c r="F11021">
        <v>-7997.87</v>
      </c>
    </row>
    <row r="11022" spans="1:6" hidden="1" x14ac:dyDescent="0.25">
      <c r="A11022" t="s">
        <v>703</v>
      </c>
      <c r="B11022" t="s">
        <v>260</v>
      </c>
      <c r="E11022" s="3">
        <f>HYPERLINK("https://sao.dolgi.msk.ru/account/1404074211/", 1404074211)</f>
        <v>1404074211</v>
      </c>
      <c r="F11022">
        <v>-7946.47</v>
      </c>
    </row>
    <row r="11023" spans="1:6" hidden="1" x14ac:dyDescent="0.25">
      <c r="A11023" t="s">
        <v>703</v>
      </c>
      <c r="B11023" t="s">
        <v>261</v>
      </c>
      <c r="E11023" s="3">
        <f>HYPERLINK("https://sao.dolgi.msk.ru/account/1404074238/", 1404074238)</f>
        <v>1404074238</v>
      </c>
      <c r="F11023">
        <v>-4653.03</v>
      </c>
    </row>
    <row r="11024" spans="1:6" hidden="1" x14ac:dyDescent="0.25">
      <c r="A11024" t="s">
        <v>703</v>
      </c>
      <c r="B11024" t="s">
        <v>262</v>
      </c>
      <c r="E11024" s="3">
        <f>HYPERLINK("https://sao.dolgi.msk.ru/account/1404074254/", 1404074254)</f>
        <v>1404074254</v>
      </c>
      <c r="F11024">
        <v>-5352.93</v>
      </c>
    </row>
    <row r="11025" spans="1:6" hidden="1" x14ac:dyDescent="0.25">
      <c r="A11025" t="s">
        <v>703</v>
      </c>
      <c r="B11025" t="s">
        <v>263</v>
      </c>
      <c r="E11025" s="3">
        <f>HYPERLINK("https://sao.dolgi.msk.ru/account/1404074289/", 1404074289)</f>
        <v>1404074289</v>
      </c>
      <c r="F11025">
        <v>-8587.3799999999992</v>
      </c>
    </row>
    <row r="11026" spans="1:6" x14ac:dyDescent="0.25">
      <c r="A11026" t="s">
        <v>703</v>
      </c>
      <c r="B11026" t="s">
        <v>264</v>
      </c>
      <c r="C11026" s="5" t="str">
        <f>" кв. "&amp;B11026</f>
        <v xml:space="preserve"> кв. 257</v>
      </c>
      <c r="D11026" s="5" t="str">
        <f>CONCATENATE(A11026,C11026)</f>
        <v>Смольная ул., дом 57 к.1 кв. 257</v>
      </c>
      <c r="E11026" s="3">
        <f>HYPERLINK("https://sao.dolgi.msk.ru/account/1404074297/", 1404074297)</f>
        <v>1404074297</v>
      </c>
      <c r="F11026">
        <v>75474.710000000006</v>
      </c>
    </row>
    <row r="11027" spans="1:6" hidden="1" x14ac:dyDescent="0.25">
      <c r="A11027" t="s">
        <v>703</v>
      </c>
      <c r="B11027" t="s">
        <v>265</v>
      </c>
      <c r="E11027" s="3">
        <f>HYPERLINK("https://sao.dolgi.msk.ru/account/1404074318/", 1404074318)</f>
        <v>1404074318</v>
      </c>
      <c r="F11027">
        <v>-5342.5</v>
      </c>
    </row>
    <row r="11028" spans="1:6" hidden="1" x14ac:dyDescent="0.25">
      <c r="A11028" t="s">
        <v>703</v>
      </c>
      <c r="B11028" t="s">
        <v>266</v>
      </c>
      <c r="E11028" s="3">
        <f>HYPERLINK("https://sao.dolgi.msk.ru/account/1404074326/", 1404074326)</f>
        <v>1404074326</v>
      </c>
      <c r="F11028">
        <v>-6717.68</v>
      </c>
    </row>
    <row r="11029" spans="1:6" hidden="1" x14ac:dyDescent="0.25">
      <c r="A11029" t="s">
        <v>703</v>
      </c>
      <c r="B11029" t="s">
        <v>267</v>
      </c>
      <c r="E11029" s="3">
        <f>HYPERLINK("https://sao.dolgi.msk.ru/account/1404074334/", 1404074334)</f>
        <v>1404074334</v>
      </c>
      <c r="F11029">
        <v>-5726.55</v>
      </c>
    </row>
    <row r="11030" spans="1:6" hidden="1" x14ac:dyDescent="0.25">
      <c r="A11030" t="s">
        <v>703</v>
      </c>
      <c r="B11030" t="s">
        <v>268</v>
      </c>
      <c r="E11030" s="3">
        <f>HYPERLINK("https://sao.dolgi.msk.ru/account/1404074342/", 1404074342)</f>
        <v>1404074342</v>
      </c>
      <c r="F11030">
        <v>-5989.38</v>
      </c>
    </row>
    <row r="11031" spans="1:6" hidden="1" x14ac:dyDescent="0.25">
      <c r="A11031" t="s">
        <v>703</v>
      </c>
      <c r="B11031" t="s">
        <v>269</v>
      </c>
      <c r="E11031" s="3">
        <f>HYPERLINK("https://sao.dolgi.msk.ru/account/1404074369/", 1404074369)</f>
        <v>1404074369</v>
      </c>
      <c r="F11031">
        <v>-4782.8500000000004</v>
      </c>
    </row>
    <row r="11032" spans="1:6" hidden="1" x14ac:dyDescent="0.25">
      <c r="A11032" t="s">
        <v>703</v>
      </c>
      <c r="B11032" t="s">
        <v>270</v>
      </c>
      <c r="E11032" s="3">
        <f>HYPERLINK("https://sao.dolgi.msk.ru/account/1404074377/", 1404074377)</f>
        <v>1404074377</v>
      </c>
      <c r="F11032">
        <v>-5073.28</v>
      </c>
    </row>
    <row r="11033" spans="1:6" hidden="1" x14ac:dyDescent="0.25">
      <c r="A11033" t="s">
        <v>703</v>
      </c>
      <c r="B11033" t="s">
        <v>271</v>
      </c>
      <c r="E11033" s="3">
        <f>HYPERLINK("https://sao.dolgi.msk.ru/account/1404074385/", 1404074385)</f>
        <v>1404074385</v>
      </c>
      <c r="F11033">
        <v>-7432.53</v>
      </c>
    </row>
    <row r="11034" spans="1:6" hidden="1" x14ac:dyDescent="0.25">
      <c r="A11034" t="s">
        <v>704</v>
      </c>
      <c r="B11034" t="s">
        <v>5</v>
      </c>
      <c r="E11034" s="3">
        <f>HYPERLINK("https://sao.dolgi.msk.ru/account/1404290985/", 1404290985)</f>
        <v>1404290985</v>
      </c>
      <c r="F11034">
        <v>-1973.66</v>
      </c>
    </row>
    <row r="11035" spans="1:6" hidden="1" x14ac:dyDescent="0.25">
      <c r="A11035" t="s">
        <v>704</v>
      </c>
      <c r="B11035" t="s">
        <v>6</v>
      </c>
      <c r="E11035" s="3">
        <f>HYPERLINK("https://sao.dolgi.msk.ru/account/1404290934/", 1404290934)</f>
        <v>1404290934</v>
      </c>
      <c r="F11035">
        <v>-1725.8</v>
      </c>
    </row>
    <row r="11036" spans="1:6" hidden="1" x14ac:dyDescent="0.25">
      <c r="A11036" t="s">
        <v>704</v>
      </c>
      <c r="B11036" t="s">
        <v>7</v>
      </c>
      <c r="E11036" s="3">
        <f>HYPERLINK("https://sao.dolgi.msk.ru/account/1404288543/", 1404288543)</f>
        <v>1404288543</v>
      </c>
      <c r="F11036">
        <v>-1261.47</v>
      </c>
    </row>
    <row r="11037" spans="1:6" hidden="1" x14ac:dyDescent="0.25">
      <c r="A11037" t="s">
        <v>704</v>
      </c>
      <c r="B11037" t="s">
        <v>8</v>
      </c>
      <c r="E11037" s="3">
        <f>HYPERLINK("https://sao.dolgi.msk.ru/account/1404289802/", 1404289802)</f>
        <v>1404289802</v>
      </c>
      <c r="F11037">
        <v>0</v>
      </c>
    </row>
    <row r="11038" spans="1:6" hidden="1" x14ac:dyDescent="0.25">
      <c r="A11038" t="s">
        <v>704</v>
      </c>
      <c r="B11038" t="s">
        <v>9</v>
      </c>
      <c r="E11038" s="3">
        <f>HYPERLINK("https://sao.dolgi.msk.ru/account/1404287137/", 1404287137)</f>
        <v>1404287137</v>
      </c>
      <c r="F11038">
        <v>0</v>
      </c>
    </row>
    <row r="11039" spans="1:6" hidden="1" x14ac:dyDescent="0.25">
      <c r="A11039" t="s">
        <v>704</v>
      </c>
      <c r="B11039" t="s">
        <v>10</v>
      </c>
      <c r="E11039" s="3">
        <f>HYPERLINK("https://sao.dolgi.msk.ru/account/1404286935/", 1404286935)</f>
        <v>1404286935</v>
      </c>
      <c r="F11039">
        <v>-2207.08</v>
      </c>
    </row>
    <row r="11040" spans="1:6" x14ac:dyDescent="0.25">
      <c r="A11040" t="s">
        <v>704</v>
      </c>
      <c r="B11040" t="s">
        <v>11</v>
      </c>
      <c r="C11040" s="5" t="str">
        <f t="shared" ref="C11040:C11041" si="459">" кв. "&amp;B11040</f>
        <v xml:space="preserve"> кв. 7</v>
      </c>
      <c r="D11040" s="5" t="str">
        <f>CONCATENATE(A11040,C11040)</f>
        <v>Смольная ул., дом 61 к.1 кв. 7</v>
      </c>
      <c r="E11040" s="3">
        <f>HYPERLINK("https://sao.dolgi.msk.ru/account/1404292585/", 1404292585)</f>
        <v>1404292585</v>
      </c>
      <c r="F11040">
        <v>648.41</v>
      </c>
    </row>
    <row r="11041" spans="1:6" x14ac:dyDescent="0.25">
      <c r="A11041" t="s">
        <v>704</v>
      </c>
      <c r="B11041" t="s">
        <v>12</v>
      </c>
      <c r="C11041" s="5" t="str">
        <f t="shared" si="459"/>
        <v xml:space="preserve"> кв. 8</v>
      </c>
      <c r="D11041" s="5" t="str">
        <f>CONCATENATE(A11041,C11041)</f>
        <v>Смольная ул., дом 61 к.1 кв. 8</v>
      </c>
      <c r="E11041" s="3">
        <f>HYPERLINK("https://sao.dolgi.msk.ru/account/1404292876/", 1404292876)</f>
        <v>1404292876</v>
      </c>
      <c r="F11041">
        <v>1657.41</v>
      </c>
    </row>
    <row r="11042" spans="1:6" hidden="1" x14ac:dyDescent="0.25">
      <c r="A11042" t="s">
        <v>704</v>
      </c>
      <c r="B11042" t="s">
        <v>13</v>
      </c>
      <c r="E11042" s="3">
        <f>HYPERLINK("https://sao.dolgi.msk.ru/account/1404286273/", 1404286273)</f>
        <v>1404286273</v>
      </c>
      <c r="F11042">
        <v>-2657.69</v>
      </c>
    </row>
    <row r="11043" spans="1:6" hidden="1" x14ac:dyDescent="0.25">
      <c r="A11043" t="s">
        <v>704</v>
      </c>
      <c r="B11043" t="s">
        <v>14</v>
      </c>
      <c r="E11043" s="3">
        <f>HYPERLINK("https://sao.dolgi.msk.ru/account/1404286599/", 1404286599)</f>
        <v>1404286599</v>
      </c>
      <c r="F11043">
        <v>-2588.36</v>
      </c>
    </row>
    <row r="11044" spans="1:6" hidden="1" x14ac:dyDescent="0.25">
      <c r="A11044" t="s">
        <v>704</v>
      </c>
      <c r="B11044" t="s">
        <v>15</v>
      </c>
      <c r="E11044" s="3">
        <f>HYPERLINK("https://sao.dolgi.msk.ru/account/1404290635/", 1404290635)</f>
        <v>1404290635</v>
      </c>
      <c r="F11044">
        <v>-412.92</v>
      </c>
    </row>
    <row r="11045" spans="1:6" hidden="1" x14ac:dyDescent="0.25">
      <c r="A11045" t="s">
        <v>704</v>
      </c>
      <c r="B11045" t="s">
        <v>16</v>
      </c>
      <c r="E11045" s="3">
        <f>HYPERLINK("https://sao.dolgi.msk.ru/account/1404288551/", 1404288551)</f>
        <v>1404288551</v>
      </c>
      <c r="F11045">
        <v>0</v>
      </c>
    </row>
    <row r="11046" spans="1:6" x14ac:dyDescent="0.25">
      <c r="A11046" t="s">
        <v>704</v>
      </c>
      <c r="B11046" t="s">
        <v>17</v>
      </c>
      <c r="C11046" s="5" t="str">
        <f>" кв. "&amp;B11046</f>
        <v xml:space="preserve"> кв. 13</v>
      </c>
      <c r="D11046" s="5" t="str">
        <f>CONCATENATE(A11046,C11046)</f>
        <v>Смольная ул., дом 61 к.1 кв. 13</v>
      </c>
      <c r="E11046" s="3">
        <f>HYPERLINK("https://sao.dolgi.msk.ru/account/1404291865/", 1404291865)</f>
        <v>1404291865</v>
      </c>
      <c r="F11046">
        <v>1641.6</v>
      </c>
    </row>
    <row r="11047" spans="1:6" hidden="1" x14ac:dyDescent="0.25">
      <c r="A11047" t="s">
        <v>704</v>
      </c>
      <c r="B11047" t="s">
        <v>18</v>
      </c>
      <c r="E11047" s="3">
        <f>HYPERLINK("https://sao.dolgi.msk.ru/account/1404292091/", 1404292091)</f>
        <v>1404292091</v>
      </c>
      <c r="F11047">
        <v>0</v>
      </c>
    </row>
    <row r="11048" spans="1:6" hidden="1" x14ac:dyDescent="0.25">
      <c r="A11048" t="s">
        <v>704</v>
      </c>
      <c r="B11048" t="s">
        <v>19</v>
      </c>
      <c r="E11048" s="3">
        <f>HYPERLINK("https://sao.dolgi.msk.ru/account/1404286388/", 1404286388)</f>
        <v>1404286388</v>
      </c>
      <c r="F11048">
        <v>0</v>
      </c>
    </row>
    <row r="11049" spans="1:6" hidden="1" x14ac:dyDescent="0.25">
      <c r="A11049" t="s">
        <v>704</v>
      </c>
      <c r="B11049" t="s">
        <v>19</v>
      </c>
      <c r="E11049" s="3">
        <f>HYPERLINK("https://sao.dolgi.msk.ru/account/1404291531/", 1404291531)</f>
        <v>1404291531</v>
      </c>
      <c r="F11049">
        <v>0</v>
      </c>
    </row>
    <row r="11050" spans="1:6" x14ac:dyDescent="0.25">
      <c r="A11050" t="s">
        <v>704</v>
      </c>
      <c r="B11050" t="s">
        <v>20</v>
      </c>
      <c r="C11050" s="5" t="str">
        <f>" кв. "&amp;B11050</f>
        <v xml:space="preserve"> кв. 16</v>
      </c>
      <c r="D11050" s="5" t="str">
        <f>CONCATENATE(A11050,C11050)</f>
        <v>Смольная ул., дом 61 к.1 кв. 16</v>
      </c>
      <c r="E11050" s="3">
        <f>HYPERLINK("https://sao.dolgi.msk.ru/account/1404287452/", 1404287452)</f>
        <v>1404287452</v>
      </c>
      <c r="F11050">
        <v>1768.12</v>
      </c>
    </row>
    <row r="11051" spans="1:6" hidden="1" x14ac:dyDescent="0.25">
      <c r="A11051" t="s">
        <v>704</v>
      </c>
      <c r="B11051" t="s">
        <v>21</v>
      </c>
      <c r="E11051" s="3">
        <f>HYPERLINK("https://sao.dolgi.msk.ru/account/1404291005/", 1404291005)</f>
        <v>1404291005</v>
      </c>
      <c r="F11051">
        <v>-1862.69</v>
      </c>
    </row>
    <row r="11052" spans="1:6" hidden="1" x14ac:dyDescent="0.25">
      <c r="A11052" t="s">
        <v>704</v>
      </c>
      <c r="B11052" t="s">
        <v>22</v>
      </c>
      <c r="E11052" s="3">
        <f>HYPERLINK("https://sao.dolgi.msk.ru/account/1404290758/", 1404290758)</f>
        <v>1404290758</v>
      </c>
      <c r="F11052">
        <v>-2403.48</v>
      </c>
    </row>
    <row r="11053" spans="1:6" hidden="1" x14ac:dyDescent="0.25">
      <c r="A11053" t="s">
        <v>704</v>
      </c>
      <c r="B11053" t="s">
        <v>23</v>
      </c>
      <c r="E11053" s="3">
        <f>HYPERLINK("https://sao.dolgi.msk.ru/account/1404291136/", 1404291136)</f>
        <v>1404291136</v>
      </c>
      <c r="F11053">
        <v>-4919.76</v>
      </c>
    </row>
    <row r="11054" spans="1:6" hidden="1" x14ac:dyDescent="0.25">
      <c r="A11054" t="s">
        <v>704</v>
      </c>
      <c r="B11054" t="s">
        <v>24</v>
      </c>
      <c r="E11054" s="3">
        <f>HYPERLINK("https://sao.dolgi.msk.ru/account/1404293019/", 1404293019)</f>
        <v>1404293019</v>
      </c>
      <c r="F11054">
        <v>-2195.39</v>
      </c>
    </row>
    <row r="11055" spans="1:6" hidden="1" x14ac:dyDescent="0.25">
      <c r="A11055" t="s">
        <v>704</v>
      </c>
      <c r="B11055" t="s">
        <v>25</v>
      </c>
      <c r="E11055" s="3">
        <f>HYPERLINK("https://sao.dolgi.msk.ru/account/1404286695/", 1404286695)</f>
        <v>1404286695</v>
      </c>
      <c r="F11055">
        <v>-2405.38</v>
      </c>
    </row>
    <row r="11056" spans="1:6" x14ac:dyDescent="0.25">
      <c r="A11056" t="s">
        <v>704</v>
      </c>
      <c r="B11056" t="s">
        <v>26</v>
      </c>
      <c r="C11056" s="5" t="str">
        <f t="shared" ref="C11056:C11057" si="460">" кв. "&amp;B11056</f>
        <v xml:space="preserve"> кв. 22</v>
      </c>
      <c r="D11056" s="5" t="str">
        <f>CONCATENATE(A11056,C11056)</f>
        <v>Смольная ул., дом 61 к.1 кв. 22</v>
      </c>
      <c r="E11056" s="3">
        <f>HYPERLINK("https://sao.dolgi.msk.ru/account/1404291611/", 1404291611)</f>
        <v>1404291611</v>
      </c>
      <c r="F11056">
        <v>1277.8499999999999</v>
      </c>
    </row>
    <row r="11057" spans="1:6" x14ac:dyDescent="0.25">
      <c r="A11057" t="s">
        <v>704</v>
      </c>
      <c r="B11057" t="s">
        <v>27</v>
      </c>
      <c r="C11057" s="5" t="str">
        <f t="shared" si="460"/>
        <v xml:space="preserve"> кв. 23</v>
      </c>
      <c r="D11057" s="5" t="str">
        <f>CONCATENATE(A11057,C11057)</f>
        <v>Смольная ул., дом 61 к.1 кв. 23</v>
      </c>
      <c r="E11057" s="3">
        <f>HYPERLINK("https://sao.dolgi.msk.ru/account/1404291064/", 1404291064)</f>
        <v>1404291064</v>
      </c>
      <c r="F11057">
        <v>1638.43</v>
      </c>
    </row>
    <row r="11058" spans="1:6" hidden="1" x14ac:dyDescent="0.25">
      <c r="A11058" t="s">
        <v>704</v>
      </c>
      <c r="B11058" t="s">
        <v>28</v>
      </c>
      <c r="E11058" s="3">
        <f>HYPERLINK("https://sao.dolgi.msk.ru/account/1404290838/", 1404290838)</f>
        <v>1404290838</v>
      </c>
      <c r="F11058">
        <v>-1535.2</v>
      </c>
    </row>
    <row r="11059" spans="1:6" hidden="1" x14ac:dyDescent="0.25">
      <c r="A11059" t="s">
        <v>704</v>
      </c>
      <c r="B11059" t="s">
        <v>29</v>
      </c>
      <c r="E11059" s="3">
        <f>HYPERLINK("https://sao.dolgi.msk.ru/account/1404289335/", 1404289335)</f>
        <v>1404289335</v>
      </c>
      <c r="F11059">
        <v>-2602.23</v>
      </c>
    </row>
    <row r="11060" spans="1:6" hidden="1" x14ac:dyDescent="0.25">
      <c r="A11060" t="s">
        <v>704</v>
      </c>
      <c r="B11060" t="s">
        <v>30</v>
      </c>
      <c r="E11060" s="3">
        <f>HYPERLINK("https://sao.dolgi.msk.ru/account/1404292008/", 1404292008)</f>
        <v>1404292008</v>
      </c>
      <c r="F11060">
        <v>-2625.34</v>
      </c>
    </row>
    <row r="11061" spans="1:6" hidden="1" x14ac:dyDescent="0.25">
      <c r="A11061" t="s">
        <v>704</v>
      </c>
      <c r="B11061" t="s">
        <v>31</v>
      </c>
      <c r="E11061" s="3">
        <f>HYPERLINK("https://sao.dolgi.msk.ru/account/1404293609/", 1404293609)</f>
        <v>1404293609</v>
      </c>
      <c r="F11061">
        <v>-1885.8</v>
      </c>
    </row>
    <row r="11062" spans="1:6" hidden="1" x14ac:dyDescent="0.25">
      <c r="A11062" t="s">
        <v>704</v>
      </c>
      <c r="B11062" t="s">
        <v>32</v>
      </c>
      <c r="E11062" s="3">
        <f>HYPERLINK("https://sao.dolgi.msk.ru/account/1404292198/", 1404292198)</f>
        <v>1404292198</v>
      </c>
      <c r="F11062">
        <v>0</v>
      </c>
    </row>
    <row r="11063" spans="1:6" x14ac:dyDescent="0.25">
      <c r="A11063" t="s">
        <v>704</v>
      </c>
      <c r="B11063" t="s">
        <v>33</v>
      </c>
      <c r="C11063" s="5" t="str">
        <f>" кв. "&amp;B11063</f>
        <v xml:space="preserve"> кв. 29</v>
      </c>
      <c r="D11063" s="5" t="str">
        <f>CONCATENATE(A11063,C11063)</f>
        <v>Смольная ул., дом 61 к.1 кв. 29</v>
      </c>
      <c r="E11063" s="3">
        <f>HYPERLINK("https://sao.dolgi.msk.ru/account/1404292542/", 1404292542)</f>
        <v>1404292542</v>
      </c>
      <c r="F11063">
        <v>1802.91</v>
      </c>
    </row>
    <row r="11064" spans="1:6" hidden="1" x14ac:dyDescent="0.25">
      <c r="A11064" t="s">
        <v>704</v>
      </c>
      <c r="B11064" t="s">
        <v>34</v>
      </c>
      <c r="E11064" s="3">
        <f>HYPERLINK("https://sao.dolgi.msk.ru/account/1404290969/", 1404290969)</f>
        <v>1404290969</v>
      </c>
      <c r="F11064">
        <v>0</v>
      </c>
    </row>
    <row r="11065" spans="1:6" hidden="1" x14ac:dyDescent="0.25">
      <c r="A11065" t="s">
        <v>704</v>
      </c>
      <c r="B11065" t="s">
        <v>35</v>
      </c>
      <c r="E11065" s="3">
        <f>HYPERLINK("https://sao.dolgi.msk.ru/account/1404287604/", 1404287604)</f>
        <v>1404287604</v>
      </c>
      <c r="F11065">
        <v>-2195.39</v>
      </c>
    </row>
    <row r="11066" spans="1:6" hidden="1" x14ac:dyDescent="0.25">
      <c r="A11066" t="s">
        <v>704</v>
      </c>
      <c r="B11066" t="s">
        <v>36</v>
      </c>
      <c r="E11066" s="3">
        <f>HYPERLINK("https://sao.dolgi.msk.ru/account/1404286361/", 1404286361)</f>
        <v>1404286361</v>
      </c>
      <c r="F11066">
        <v>-1871.94</v>
      </c>
    </row>
    <row r="11067" spans="1:6" x14ac:dyDescent="0.25">
      <c r="A11067" t="s">
        <v>704</v>
      </c>
      <c r="B11067" t="s">
        <v>37</v>
      </c>
      <c r="C11067" s="5" t="str">
        <f t="shared" ref="C11067:C11069" si="461">" кв. "&amp;B11067</f>
        <v xml:space="preserve"> кв. 33</v>
      </c>
      <c r="D11067" s="5" t="str">
        <f>CONCATENATE(A11067,C11067)</f>
        <v>Смольная ул., дом 61 к.1 кв. 33</v>
      </c>
      <c r="E11067" s="3">
        <f>HYPERLINK("https://sao.dolgi.msk.ru/account/1404288957/", 1404288957)</f>
        <v>1404288957</v>
      </c>
      <c r="F11067">
        <v>1647.92</v>
      </c>
    </row>
    <row r="11068" spans="1:6" x14ac:dyDescent="0.25">
      <c r="A11068" t="s">
        <v>704</v>
      </c>
      <c r="B11068" t="s">
        <v>38</v>
      </c>
      <c r="C11068" s="5" t="str">
        <f t="shared" si="461"/>
        <v xml:space="preserve"> кв. 34</v>
      </c>
      <c r="D11068" s="5" t="str">
        <f>CONCATENATE(A11068,C11068)</f>
        <v>Смольная ул., дом 61 к.1 кв. 34</v>
      </c>
      <c r="E11068" s="3">
        <f>HYPERLINK("https://sao.dolgi.msk.ru/account/1404291259/", 1404291259)</f>
        <v>1404291259</v>
      </c>
      <c r="F11068">
        <v>1802.91</v>
      </c>
    </row>
    <row r="11069" spans="1:6" x14ac:dyDescent="0.25">
      <c r="A11069" t="s">
        <v>704</v>
      </c>
      <c r="B11069" t="s">
        <v>39</v>
      </c>
      <c r="C11069" s="5" t="str">
        <f t="shared" si="461"/>
        <v xml:space="preserve"> кв. 35</v>
      </c>
      <c r="D11069" s="5" t="str">
        <f>CONCATENATE(A11069,C11069)</f>
        <v>Смольная ул., дом 61 к.1 кв. 35</v>
      </c>
      <c r="E11069" s="3">
        <f>HYPERLINK("https://sao.dolgi.msk.ru/account/1404287516/", 1404287516)</f>
        <v>1404287516</v>
      </c>
      <c r="F11069">
        <v>1783.93</v>
      </c>
    </row>
    <row r="11070" spans="1:6" hidden="1" x14ac:dyDescent="0.25">
      <c r="A11070" t="s">
        <v>704</v>
      </c>
      <c r="B11070" t="s">
        <v>40</v>
      </c>
      <c r="E11070" s="3">
        <f>HYPERLINK("https://sao.dolgi.msk.ru/account/1404286943/", 1404286943)</f>
        <v>1404286943</v>
      </c>
      <c r="F11070">
        <v>-2629.95</v>
      </c>
    </row>
    <row r="11071" spans="1:6" hidden="1" x14ac:dyDescent="0.25">
      <c r="A11071" t="s">
        <v>704</v>
      </c>
      <c r="B11071" t="s">
        <v>41</v>
      </c>
      <c r="E11071" s="3">
        <f>HYPERLINK("https://sao.dolgi.msk.ru/account/1404293035/", 1404293035)</f>
        <v>1404293035</v>
      </c>
      <c r="F11071">
        <v>0</v>
      </c>
    </row>
    <row r="11072" spans="1:6" x14ac:dyDescent="0.25">
      <c r="A11072" t="s">
        <v>704</v>
      </c>
      <c r="B11072" t="s">
        <v>42</v>
      </c>
      <c r="C11072" s="5" t="str">
        <f>" кв. "&amp;B11072</f>
        <v xml:space="preserve"> кв. 38</v>
      </c>
      <c r="D11072" s="5" t="str">
        <f>CONCATENATE(A11072,C11072)</f>
        <v>Смольная ул., дом 61 к.1 кв. 38</v>
      </c>
      <c r="E11072" s="3">
        <f>HYPERLINK("https://sao.dolgi.msk.ru/account/1404291056/", 1404291056)</f>
        <v>1404291056</v>
      </c>
      <c r="F11072">
        <v>1641.6</v>
      </c>
    </row>
    <row r="11073" spans="1:6" hidden="1" x14ac:dyDescent="0.25">
      <c r="A11073" t="s">
        <v>704</v>
      </c>
      <c r="B11073" t="s">
        <v>43</v>
      </c>
      <c r="E11073" s="3">
        <f>HYPERLINK("https://sao.dolgi.msk.ru/account/1404288535/", 1404288535)</f>
        <v>1404288535</v>
      </c>
      <c r="F11073">
        <v>0</v>
      </c>
    </row>
    <row r="11074" spans="1:6" hidden="1" x14ac:dyDescent="0.25">
      <c r="A11074" t="s">
        <v>704</v>
      </c>
      <c r="B11074" t="s">
        <v>44</v>
      </c>
      <c r="E11074" s="3">
        <f>HYPERLINK("https://sao.dolgi.msk.ru/account/1404289095/", 1404289095)</f>
        <v>1404289095</v>
      </c>
      <c r="F11074">
        <v>0</v>
      </c>
    </row>
    <row r="11075" spans="1:6" hidden="1" x14ac:dyDescent="0.25">
      <c r="A11075" t="s">
        <v>704</v>
      </c>
      <c r="B11075" t="s">
        <v>45</v>
      </c>
      <c r="E11075" s="3">
        <f>HYPERLINK("https://sao.dolgi.msk.ru/account/1404291582/", 1404291582)</f>
        <v>1404291582</v>
      </c>
      <c r="F11075">
        <v>-2616.1</v>
      </c>
    </row>
    <row r="11076" spans="1:6" hidden="1" x14ac:dyDescent="0.25">
      <c r="A11076" t="s">
        <v>704</v>
      </c>
      <c r="B11076" t="s">
        <v>46</v>
      </c>
      <c r="E11076" s="3">
        <f>HYPERLINK("https://sao.dolgi.msk.ru/account/1404292796/", 1404292796)</f>
        <v>1404292796</v>
      </c>
      <c r="F11076">
        <v>-1885.8</v>
      </c>
    </row>
    <row r="11077" spans="1:6" hidden="1" x14ac:dyDescent="0.25">
      <c r="A11077" t="s">
        <v>704</v>
      </c>
      <c r="B11077" t="s">
        <v>47</v>
      </c>
      <c r="E11077" s="3">
        <f>HYPERLINK("https://sao.dolgi.msk.ru/account/1404287495/", 1404287495)</f>
        <v>1404287495</v>
      </c>
      <c r="F11077">
        <v>-1506.12</v>
      </c>
    </row>
    <row r="11078" spans="1:6" hidden="1" x14ac:dyDescent="0.25">
      <c r="A11078" t="s">
        <v>704</v>
      </c>
      <c r="B11078" t="s">
        <v>48</v>
      </c>
      <c r="E11078" s="3">
        <f>HYPERLINK("https://sao.dolgi.msk.ru/account/1404289984/", 1404289984)</f>
        <v>1404289984</v>
      </c>
      <c r="F11078">
        <v>-2629.95</v>
      </c>
    </row>
    <row r="11079" spans="1:6" hidden="1" x14ac:dyDescent="0.25">
      <c r="A11079" t="s">
        <v>704</v>
      </c>
      <c r="B11079" t="s">
        <v>49</v>
      </c>
      <c r="E11079" s="3">
        <f>HYPERLINK("https://sao.dolgi.msk.ru/account/1404293641/", 1404293641)</f>
        <v>1404293641</v>
      </c>
      <c r="F11079">
        <v>-1844.21</v>
      </c>
    </row>
    <row r="11080" spans="1:6" hidden="1" x14ac:dyDescent="0.25">
      <c r="A11080" t="s">
        <v>704</v>
      </c>
      <c r="B11080" t="s">
        <v>50</v>
      </c>
      <c r="E11080" s="3">
        <f>HYPERLINK("https://sao.dolgi.msk.ru/account/1404289589/", 1404289589)</f>
        <v>1404289589</v>
      </c>
      <c r="F11080">
        <v>-2625.34</v>
      </c>
    </row>
    <row r="11081" spans="1:6" hidden="1" x14ac:dyDescent="0.25">
      <c r="A11081" t="s">
        <v>704</v>
      </c>
      <c r="B11081" t="s">
        <v>51</v>
      </c>
      <c r="E11081" s="3">
        <f>HYPERLINK("https://sao.dolgi.msk.ru/account/1404290627/", 1404290627)</f>
        <v>1404290627</v>
      </c>
      <c r="F11081">
        <v>-1895.05</v>
      </c>
    </row>
    <row r="11082" spans="1:6" hidden="1" x14ac:dyDescent="0.25">
      <c r="A11082" t="s">
        <v>704</v>
      </c>
      <c r="B11082" t="s">
        <v>52</v>
      </c>
      <c r="E11082" s="3">
        <f>HYPERLINK("https://sao.dolgi.msk.ru/account/1404290133/", 1404290133)</f>
        <v>1404290133</v>
      </c>
      <c r="F11082">
        <v>-1513.91</v>
      </c>
    </row>
    <row r="11083" spans="1:6" hidden="1" x14ac:dyDescent="0.25">
      <c r="A11083" t="s">
        <v>704</v>
      </c>
      <c r="B11083" t="s">
        <v>53</v>
      </c>
      <c r="E11083" s="3">
        <f>HYPERLINK("https://sao.dolgi.msk.ru/account/1404292366/", 1404292366)</f>
        <v>1404292366</v>
      </c>
      <c r="F11083">
        <v>-2639.19</v>
      </c>
    </row>
    <row r="11084" spans="1:6" hidden="1" x14ac:dyDescent="0.25">
      <c r="A11084" t="s">
        <v>704</v>
      </c>
      <c r="B11084" t="s">
        <v>54</v>
      </c>
      <c r="E11084" s="3">
        <f>HYPERLINK("https://sao.dolgi.msk.ru/account/1404290264/", 1404290264)</f>
        <v>1404290264</v>
      </c>
      <c r="F11084">
        <v>-2597.61</v>
      </c>
    </row>
    <row r="11085" spans="1:6" hidden="1" x14ac:dyDescent="0.25">
      <c r="A11085" t="s">
        <v>704</v>
      </c>
      <c r="B11085" t="s">
        <v>55</v>
      </c>
      <c r="E11085" s="3">
        <f>HYPERLINK("https://sao.dolgi.msk.ru/account/1404290731/", 1404290731)</f>
        <v>1404290731</v>
      </c>
      <c r="F11085">
        <v>0</v>
      </c>
    </row>
    <row r="11086" spans="1:6" hidden="1" x14ac:dyDescent="0.25">
      <c r="A11086" t="s">
        <v>704</v>
      </c>
      <c r="B11086" t="s">
        <v>56</v>
      </c>
      <c r="E11086" s="3">
        <f>HYPERLINK("https://sao.dolgi.msk.ru/account/1404286513/", 1404286513)</f>
        <v>1404286513</v>
      </c>
      <c r="F11086">
        <v>-1876.56</v>
      </c>
    </row>
    <row r="11087" spans="1:6" hidden="1" x14ac:dyDescent="0.25">
      <c r="A11087" t="s">
        <v>704</v>
      </c>
      <c r="B11087" t="s">
        <v>57</v>
      </c>
      <c r="E11087" s="3">
        <f>HYPERLINK("https://sao.dolgi.msk.ru/account/1404290459/", 1404290459)</f>
        <v>1404290459</v>
      </c>
      <c r="F11087">
        <v>-2408.1</v>
      </c>
    </row>
    <row r="11088" spans="1:6" hidden="1" x14ac:dyDescent="0.25">
      <c r="A11088" t="s">
        <v>704</v>
      </c>
      <c r="B11088" t="s">
        <v>58</v>
      </c>
      <c r="E11088" s="3">
        <f>HYPERLINK("https://sao.dolgi.msk.ru/account/1404291021/", 1404291021)</f>
        <v>1404291021</v>
      </c>
      <c r="F11088">
        <v>-2648.44</v>
      </c>
    </row>
    <row r="11089" spans="1:6" hidden="1" x14ac:dyDescent="0.25">
      <c r="A11089" t="s">
        <v>704</v>
      </c>
      <c r="B11089" t="s">
        <v>59</v>
      </c>
      <c r="E11089" s="3">
        <f>HYPERLINK("https://sao.dolgi.msk.ru/account/1404290619/", 1404290619)</f>
        <v>1404290619</v>
      </c>
      <c r="F11089">
        <v>-2606.85</v>
      </c>
    </row>
    <row r="11090" spans="1:6" hidden="1" x14ac:dyDescent="0.25">
      <c r="A11090" t="s">
        <v>704</v>
      </c>
      <c r="B11090" t="s">
        <v>60</v>
      </c>
      <c r="E11090" s="3">
        <f>HYPERLINK("https://sao.dolgi.msk.ru/account/1404292745/", 1404292745)</f>
        <v>1404292745</v>
      </c>
      <c r="F11090">
        <v>0</v>
      </c>
    </row>
    <row r="11091" spans="1:6" x14ac:dyDescent="0.25">
      <c r="A11091" t="s">
        <v>704</v>
      </c>
      <c r="B11091" t="s">
        <v>61</v>
      </c>
      <c r="C11091" s="5" t="str">
        <f>" кв. "&amp;B11091</f>
        <v xml:space="preserve"> кв. 57</v>
      </c>
      <c r="D11091" s="5" t="str">
        <f>CONCATENATE(A11091,C11091)</f>
        <v>Смольная ул., дом 61 к.1 кв. 57</v>
      </c>
      <c r="E11091" s="3">
        <f>HYPERLINK("https://sao.dolgi.msk.ru/account/1404292526/", 1404292526)</f>
        <v>1404292526</v>
      </c>
      <c r="F11091">
        <v>1287.3399999999999</v>
      </c>
    </row>
    <row r="11092" spans="1:6" hidden="1" x14ac:dyDescent="0.25">
      <c r="A11092" t="s">
        <v>704</v>
      </c>
      <c r="B11092" t="s">
        <v>62</v>
      </c>
      <c r="E11092" s="3">
        <f>HYPERLINK("https://sao.dolgi.msk.ru/account/1404291961/", 1404291961)</f>
        <v>1404291961</v>
      </c>
      <c r="F11092">
        <v>-5940.13</v>
      </c>
    </row>
    <row r="11093" spans="1:6" hidden="1" x14ac:dyDescent="0.25">
      <c r="A11093" t="s">
        <v>704</v>
      </c>
      <c r="B11093" t="s">
        <v>63</v>
      </c>
      <c r="E11093" s="3">
        <f>HYPERLINK("https://sao.dolgi.msk.ru/account/1404291902/", 1404291902)</f>
        <v>1404291902</v>
      </c>
      <c r="F11093">
        <v>-1712.4</v>
      </c>
    </row>
    <row r="11094" spans="1:6" x14ac:dyDescent="0.25">
      <c r="A11094" t="s">
        <v>704</v>
      </c>
      <c r="B11094" t="s">
        <v>64</v>
      </c>
      <c r="C11094" s="5" t="str">
        <f>" кв. "&amp;B11094</f>
        <v xml:space="preserve"> кв. 60</v>
      </c>
      <c r="D11094" s="5" t="str">
        <f>CONCATENATE(A11094,C11094)</f>
        <v>Смольная ул., дом 61 к.1 кв. 60</v>
      </c>
      <c r="E11094" s="3">
        <f>HYPERLINK("https://sao.dolgi.msk.ru/account/1404291451/", 1404291451)</f>
        <v>1404291451</v>
      </c>
      <c r="F11094">
        <v>1796.58</v>
      </c>
    </row>
    <row r="11095" spans="1:6" hidden="1" x14ac:dyDescent="0.25">
      <c r="A11095" t="s">
        <v>704</v>
      </c>
      <c r="B11095" t="s">
        <v>65</v>
      </c>
      <c r="E11095" s="3">
        <f>HYPERLINK("https://sao.dolgi.msk.ru/account/1404286601/", 1404286601)</f>
        <v>1404286601</v>
      </c>
      <c r="F11095">
        <v>0</v>
      </c>
    </row>
    <row r="11096" spans="1:6" hidden="1" x14ac:dyDescent="0.25">
      <c r="A11096" t="s">
        <v>704</v>
      </c>
      <c r="B11096" t="s">
        <v>66</v>
      </c>
      <c r="E11096" s="3">
        <f>HYPERLINK("https://sao.dolgi.msk.ru/account/1404292972/", 1404292972)</f>
        <v>1404292972</v>
      </c>
      <c r="F11096">
        <v>0</v>
      </c>
    </row>
    <row r="11097" spans="1:6" hidden="1" x14ac:dyDescent="0.25">
      <c r="A11097" t="s">
        <v>704</v>
      </c>
      <c r="B11097" t="s">
        <v>67</v>
      </c>
      <c r="E11097" s="3">
        <f>HYPERLINK("https://sao.dolgi.msk.ru/account/1404286046/", 1404286046)</f>
        <v>1404286046</v>
      </c>
      <c r="F11097">
        <v>-2412.73</v>
      </c>
    </row>
    <row r="11098" spans="1:6" x14ac:dyDescent="0.25">
      <c r="A11098" t="s">
        <v>704</v>
      </c>
      <c r="B11098" t="s">
        <v>68</v>
      </c>
      <c r="C11098" s="5" t="str">
        <f t="shared" ref="C11098:C11099" si="462">" кв. "&amp;B11098</f>
        <v xml:space="preserve"> кв. 64</v>
      </c>
      <c r="D11098" s="5" t="str">
        <f>CONCATENATE(A11098,C11098)</f>
        <v>Смольная ул., дом 61 к.1 кв. 64</v>
      </c>
      <c r="E11098" s="3">
        <f>HYPERLINK("https://sao.dolgi.msk.ru/account/1404290141/", 1404290141)</f>
        <v>1404290141</v>
      </c>
      <c r="F11098">
        <v>1815.56</v>
      </c>
    </row>
    <row r="11099" spans="1:6" x14ac:dyDescent="0.25">
      <c r="A11099" t="s">
        <v>704</v>
      </c>
      <c r="B11099" t="s">
        <v>69</v>
      </c>
      <c r="C11099" s="5" t="str">
        <f t="shared" si="462"/>
        <v xml:space="preserve"> кв. 65</v>
      </c>
      <c r="D11099" s="5" t="str">
        <f>CONCATENATE(A11099,C11099)</f>
        <v>Смольная ул., дом 61 к.1 кв. 65</v>
      </c>
      <c r="E11099" s="3">
        <f>HYPERLINK("https://sao.dolgi.msk.ru/account/1404286775/", 1404286775)</f>
        <v>1404286775</v>
      </c>
      <c r="F11099">
        <v>1790.26</v>
      </c>
    </row>
    <row r="11100" spans="1:6" hidden="1" x14ac:dyDescent="0.25">
      <c r="A11100" t="s">
        <v>704</v>
      </c>
      <c r="B11100" t="s">
        <v>70</v>
      </c>
      <c r="E11100" s="3">
        <f>HYPERLINK("https://sao.dolgi.msk.ru/account/1404288295/", 1404288295)</f>
        <v>1404288295</v>
      </c>
      <c r="F11100">
        <v>-2629.95</v>
      </c>
    </row>
    <row r="11101" spans="1:6" hidden="1" x14ac:dyDescent="0.25">
      <c r="A11101" t="s">
        <v>704</v>
      </c>
      <c r="B11101" t="s">
        <v>71</v>
      </c>
      <c r="E11101" s="3">
        <f>HYPERLINK("https://sao.dolgi.msk.ru/account/1404291208/", 1404291208)</f>
        <v>1404291208</v>
      </c>
      <c r="F11101">
        <v>-1885.8</v>
      </c>
    </row>
    <row r="11102" spans="1:6" hidden="1" x14ac:dyDescent="0.25">
      <c r="A11102" t="s">
        <v>704</v>
      </c>
      <c r="B11102" t="s">
        <v>72</v>
      </c>
      <c r="E11102" s="3">
        <f>HYPERLINK("https://sao.dolgi.msk.ru/account/1404291558/", 1404291558)</f>
        <v>1404291558</v>
      </c>
      <c r="F11102">
        <v>0</v>
      </c>
    </row>
    <row r="11103" spans="1:6" x14ac:dyDescent="0.25">
      <c r="A11103" t="s">
        <v>704</v>
      </c>
      <c r="B11103" t="s">
        <v>73</v>
      </c>
      <c r="C11103" s="5" t="str">
        <f>" кв. "&amp;B11103</f>
        <v xml:space="preserve"> кв. 69</v>
      </c>
      <c r="D11103" s="5" t="str">
        <f>CONCATENATE(A11103,C11103)</f>
        <v>Смольная ул., дом 61 к.1 кв. 69</v>
      </c>
      <c r="E11103" s="3">
        <f>HYPERLINK("https://sao.dolgi.msk.ru/account/1404293422/", 1404293422)</f>
        <v>1404293422</v>
      </c>
      <c r="F11103">
        <v>1815.56</v>
      </c>
    </row>
    <row r="11104" spans="1:6" hidden="1" x14ac:dyDescent="0.25">
      <c r="A11104" t="s">
        <v>704</v>
      </c>
      <c r="B11104" t="s">
        <v>74</v>
      </c>
      <c r="E11104" s="3">
        <f>HYPERLINK("https://sao.dolgi.msk.ru/account/1404291013/", 1404291013)</f>
        <v>1404291013</v>
      </c>
      <c r="F11104">
        <v>-4499.83</v>
      </c>
    </row>
    <row r="11105" spans="1:6" hidden="1" x14ac:dyDescent="0.25">
      <c r="A11105" t="s">
        <v>704</v>
      </c>
      <c r="B11105" t="s">
        <v>75</v>
      </c>
      <c r="E11105" s="3">
        <f>HYPERLINK("https://sao.dolgi.msk.ru/account/1404286011/", 1404286011)</f>
        <v>1404286011</v>
      </c>
      <c r="F11105">
        <v>-2625.34</v>
      </c>
    </row>
    <row r="11106" spans="1:6" hidden="1" x14ac:dyDescent="0.25">
      <c r="A11106" t="s">
        <v>704</v>
      </c>
      <c r="B11106" t="s">
        <v>76</v>
      </c>
      <c r="E11106" s="3">
        <f>HYPERLINK("https://sao.dolgi.msk.ru/account/1404288383/", 1404288383)</f>
        <v>1404288383</v>
      </c>
      <c r="F11106">
        <v>-1885.8</v>
      </c>
    </row>
    <row r="11107" spans="1:6" hidden="1" x14ac:dyDescent="0.25">
      <c r="A11107" t="s">
        <v>704</v>
      </c>
      <c r="B11107" t="s">
        <v>77</v>
      </c>
      <c r="E11107" s="3">
        <f>HYPERLINK("https://sao.dolgi.msk.ru/account/1404287006/", 1404287006)</f>
        <v>1404287006</v>
      </c>
      <c r="F11107">
        <v>-2412.73</v>
      </c>
    </row>
    <row r="11108" spans="1:6" hidden="1" x14ac:dyDescent="0.25">
      <c r="A11108" t="s">
        <v>704</v>
      </c>
      <c r="B11108" t="s">
        <v>78</v>
      </c>
      <c r="E11108" s="3">
        <f>HYPERLINK("https://sao.dolgi.msk.ru/account/1404286281/", 1404286281)</f>
        <v>1404286281</v>
      </c>
      <c r="F11108">
        <v>-2662.31</v>
      </c>
    </row>
    <row r="11109" spans="1:6" hidden="1" x14ac:dyDescent="0.25">
      <c r="A11109" t="s">
        <v>704</v>
      </c>
      <c r="B11109" t="s">
        <v>79</v>
      </c>
      <c r="E11109" s="3">
        <f>HYPERLINK("https://sao.dolgi.msk.ru/account/1404287946/", 1404287946)</f>
        <v>1404287946</v>
      </c>
      <c r="F11109">
        <v>-2597.61</v>
      </c>
    </row>
    <row r="11110" spans="1:6" hidden="1" x14ac:dyDescent="0.25">
      <c r="A11110" t="s">
        <v>704</v>
      </c>
      <c r="B11110" t="s">
        <v>80</v>
      </c>
      <c r="E11110" s="3">
        <f>HYPERLINK("https://sao.dolgi.msk.ru/account/1404287751/", 1404287751)</f>
        <v>1404287751</v>
      </c>
      <c r="F11110">
        <v>0</v>
      </c>
    </row>
    <row r="11111" spans="1:6" hidden="1" x14ac:dyDescent="0.25">
      <c r="A11111" t="s">
        <v>704</v>
      </c>
      <c r="B11111" t="s">
        <v>81</v>
      </c>
      <c r="E11111" s="3">
        <f>HYPERLINK("https://sao.dolgi.msk.ru/account/1404287014/", 1404287014)</f>
        <v>1404287014</v>
      </c>
      <c r="F11111">
        <v>-1895.05</v>
      </c>
    </row>
    <row r="11112" spans="1:6" hidden="1" x14ac:dyDescent="0.25">
      <c r="A11112" t="s">
        <v>704</v>
      </c>
      <c r="B11112" t="s">
        <v>82</v>
      </c>
      <c r="E11112" s="3">
        <f>HYPERLINK("https://sao.dolgi.msk.ru/account/1404289407/", 1404289407)</f>
        <v>1404289407</v>
      </c>
      <c r="F11112">
        <v>-2417.35</v>
      </c>
    </row>
    <row r="11113" spans="1:6" x14ac:dyDescent="0.25">
      <c r="A11113" t="s">
        <v>704</v>
      </c>
      <c r="B11113" t="s">
        <v>83</v>
      </c>
      <c r="C11113" s="5" t="str">
        <f>" кв. "&amp;B11113</f>
        <v xml:space="preserve"> кв. 79</v>
      </c>
      <c r="D11113" s="5" t="str">
        <f>CONCATENATE(A11113,C11113)</f>
        <v>Смольная ул., дом 61 к.1 кв. 79</v>
      </c>
      <c r="E11113" s="3">
        <f>HYPERLINK("https://sao.dolgi.msk.ru/account/1404293385/", 1404293385)</f>
        <v>1404293385</v>
      </c>
      <c r="F11113">
        <v>910.95</v>
      </c>
    </row>
    <row r="11114" spans="1:6" hidden="1" x14ac:dyDescent="0.25">
      <c r="A11114" t="s">
        <v>704</v>
      </c>
      <c r="B11114" t="s">
        <v>84</v>
      </c>
      <c r="E11114" s="3">
        <f>HYPERLINK("https://sao.dolgi.msk.ru/account/1404287276/", 1404287276)</f>
        <v>1404287276</v>
      </c>
      <c r="F11114">
        <v>-0.26</v>
      </c>
    </row>
    <row r="11115" spans="1:6" hidden="1" x14ac:dyDescent="0.25">
      <c r="A11115" t="s">
        <v>704</v>
      </c>
      <c r="B11115" t="s">
        <v>85</v>
      </c>
      <c r="E11115" s="3">
        <f>HYPERLINK("https://sao.dolgi.msk.ru/account/1404291777/", 1404291777)</f>
        <v>1404291777</v>
      </c>
      <c r="F11115">
        <v>-2616.1</v>
      </c>
    </row>
    <row r="11116" spans="1:6" x14ac:dyDescent="0.25">
      <c r="A11116" t="s">
        <v>704</v>
      </c>
      <c r="B11116" t="s">
        <v>86</v>
      </c>
      <c r="C11116" s="5" t="str">
        <f t="shared" ref="C11116:C11118" si="463">" кв. "&amp;B11116</f>
        <v xml:space="preserve"> кв. 82</v>
      </c>
      <c r="D11116" s="5" t="str">
        <f>CONCATENATE(A11116,C11116)</f>
        <v>Смольная ул., дом 61 к.1 кв. 82</v>
      </c>
      <c r="E11116" s="3">
        <f>HYPERLINK("https://sao.dolgi.msk.ru/account/1404290467/", 1404290467)</f>
        <v>1404290467</v>
      </c>
      <c r="F11116">
        <v>1296.83</v>
      </c>
    </row>
    <row r="11117" spans="1:6" x14ac:dyDescent="0.25">
      <c r="A11117" t="s">
        <v>704</v>
      </c>
      <c r="B11117" t="s">
        <v>87</v>
      </c>
      <c r="C11117" s="5" t="str">
        <f t="shared" si="463"/>
        <v xml:space="preserve"> кв. 83</v>
      </c>
      <c r="D11117" s="5" t="str">
        <f>CONCATENATE(A11117,C11117)</f>
        <v>Смольная ул., дом 61 к.1 кв. 83</v>
      </c>
      <c r="E11117" s="3">
        <f>HYPERLINK("https://sao.dolgi.msk.ru/account/1404290539/", 1404290539)</f>
        <v>1404290539</v>
      </c>
      <c r="F11117">
        <v>1663.74</v>
      </c>
    </row>
    <row r="11118" spans="1:6" x14ac:dyDescent="0.25">
      <c r="A11118" t="s">
        <v>704</v>
      </c>
      <c r="B11118" t="s">
        <v>88</v>
      </c>
      <c r="C11118" s="5" t="str">
        <f t="shared" si="463"/>
        <v xml:space="preserve"> кв. 84</v>
      </c>
      <c r="D11118" s="5" t="str">
        <f>CONCATENATE(A11118,C11118)</f>
        <v>Смольная ул., дом 61 к.1 кв. 84</v>
      </c>
      <c r="E11118" s="3">
        <f>HYPERLINK("https://sao.dolgi.msk.ru/account/1404291822/", 1404291822)</f>
        <v>1404291822</v>
      </c>
      <c r="F11118">
        <v>1802.91</v>
      </c>
    </row>
    <row r="11119" spans="1:6" hidden="1" x14ac:dyDescent="0.25">
      <c r="A11119" t="s">
        <v>704</v>
      </c>
      <c r="B11119" t="s">
        <v>89</v>
      </c>
      <c r="E11119" s="3">
        <f>HYPERLINK("https://sao.dolgi.msk.ru/account/1404286329/", 1404286329)</f>
        <v>1404286329</v>
      </c>
      <c r="F11119">
        <v>-1844.21</v>
      </c>
    </row>
    <row r="11120" spans="1:6" hidden="1" x14ac:dyDescent="0.25">
      <c r="A11120" t="s">
        <v>704</v>
      </c>
      <c r="B11120" t="s">
        <v>90</v>
      </c>
      <c r="E11120" s="3">
        <f>HYPERLINK("https://sao.dolgi.msk.ru/account/1404290037/", 1404290037)</f>
        <v>1404290037</v>
      </c>
      <c r="F11120">
        <v>-2616.1</v>
      </c>
    </row>
    <row r="11121" spans="1:6" hidden="1" x14ac:dyDescent="0.25">
      <c r="A11121" t="s">
        <v>704</v>
      </c>
      <c r="B11121" t="s">
        <v>91</v>
      </c>
      <c r="E11121" s="3">
        <f>HYPERLINK("https://sao.dolgi.msk.ru/account/1404291769/", 1404291769)</f>
        <v>1404291769</v>
      </c>
      <c r="F11121">
        <v>0</v>
      </c>
    </row>
    <row r="11122" spans="1:6" hidden="1" x14ac:dyDescent="0.25">
      <c r="A11122" t="s">
        <v>704</v>
      </c>
      <c r="B11122" t="s">
        <v>92</v>
      </c>
      <c r="E11122" s="3">
        <f>HYPERLINK("https://sao.dolgi.msk.ru/account/1404293705/", 1404293705)</f>
        <v>1404293705</v>
      </c>
      <c r="F11122">
        <v>-2412.73</v>
      </c>
    </row>
    <row r="11123" spans="1:6" x14ac:dyDescent="0.25">
      <c r="A11123" t="s">
        <v>704</v>
      </c>
      <c r="B11123" t="s">
        <v>93</v>
      </c>
      <c r="C11123" s="5" t="str">
        <f>" кв. "&amp;B11123</f>
        <v xml:space="preserve"> кв. 89</v>
      </c>
      <c r="D11123" s="5" t="str">
        <f>CONCATENATE(A11123,C11123)</f>
        <v>Смольная ул., дом 61 к.1 кв. 89</v>
      </c>
      <c r="E11123" s="3">
        <f>HYPERLINK("https://sao.dolgi.msk.ru/account/1404288308/", 1404288308)</f>
        <v>1404288308</v>
      </c>
      <c r="F11123">
        <v>1799.75</v>
      </c>
    </row>
    <row r="11124" spans="1:6" hidden="1" x14ac:dyDescent="0.25">
      <c r="A11124" t="s">
        <v>704</v>
      </c>
      <c r="B11124" t="s">
        <v>94</v>
      </c>
      <c r="E11124" s="3">
        <f>HYPERLINK("https://sao.dolgi.msk.ru/account/1404287911/", 1404287911)</f>
        <v>1404287911</v>
      </c>
      <c r="F11124">
        <v>0</v>
      </c>
    </row>
    <row r="11125" spans="1:6" hidden="1" x14ac:dyDescent="0.25">
      <c r="A11125" t="s">
        <v>704</v>
      </c>
      <c r="B11125" t="s">
        <v>95</v>
      </c>
      <c r="E11125" s="3">
        <f>HYPERLINK("https://sao.dolgi.msk.ru/account/1404292104/", 1404292104)</f>
        <v>1404292104</v>
      </c>
      <c r="F11125">
        <v>-2611.48</v>
      </c>
    </row>
    <row r="11126" spans="1:6" hidden="1" x14ac:dyDescent="0.25">
      <c r="A11126" t="s">
        <v>704</v>
      </c>
      <c r="B11126" t="s">
        <v>96</v>
      </c>
      <c r="E11126" s="3">
        <f>HYPERLINK("https://sao.dolgi.msk.ru/account/1404290707/", 1404290707)</f>
        <v>1404290707</v>
      </c>
      <c r="F11126">
        <v>-1885.8</v>
      </c>
    </row>
    <row r="11127" spans="1:6" hidden="1" x14ac:dyDescent="0.25">
      <c r="A11127" t="s">
        <v>704</v>
      </c>
      <c r="B11127" t="s">
        <v>97</v>
      </c>
      <c r="E11127" s="3">
        <f>HYPERLINK("https://sao.dolgi.msk.ru/account/1404289431/", 1404289431)</f>
        <v>1404289431</v>
      </c>
      <c r="F11127">
        <v>-2408.1</v>
      </c>
    </row>
    <row r="11128" spans="1:6" hidden="1" x14ac:dyDescent="0.25">
      <c r="A11128" t="s">
        <v>704</v>
      </c>
      <c r="B11128" t="s">
        <v>98</v>
      </c>
      <c r="E11128" s="3">
        <f>HYPERLINK("https://sao.dolgi.msk.ru/account/1404289765/", 1404289765)</f>
        <v>1404289765</v>
      </c>
      <c r="F11128">
        <v>-2639.19</v>
      </c>
    </row>
    <row r="11129" spans="1:6" hidden="1" x14ac:dyDescent="0.25">
      <c r="A11129" t="s">
        <v>704</v>
      </c>
      <c r="B11129" t="s">
        <v>99</v>
      </c>
      <c r="E11129" s="3">
        <f>HYPERLINK("https://sao.dolgi.msk.ru/account/1404286919/", 1404286919)</f>
        <v>1404286919</v>
      </c>
      <c r="F11129">
        <v>-2597.61</v>
      </c>
    </row>
    <row r="11130" spans="1:6" hidden="1" x14ac:dyDescent="0.25">
      <c r="A11130" t="s">
        <v>704</v>
      </c>
      <c r="B11130" t="s">
        <v>100</v>
      </c>
      <c r="E11130" s="3">
        <f>HYPERLINK("https://sao.dolgi.msk.ru/account/1404290096/", 1404290096)</f>
        <v>1404290096</v>
      </c>
      <c r="F11130">
        <v>0</v>
      </c>
    </row>
    <row r="11131" spans="1:6" hidden="1" x14ac:dyDescent="0.25">
      <c r="A11131" t="s">
        <v>704</v>
      </c>
      <c r="B11131" t="s">
        <v>101</v>
      </c>
      <c r="E11131" s="3">
        <f>HYPERLINK("https://sao.dolgi.msk.ru/account/1404288375/", 1404288375)</f>
        <v>1404288375</v>
      </c>
      <c r="F11131">
        <v>-1881.18</v>
      </c>
    </row>
    <row r="11132" spans="1:6" hidden="1" x14ac:dyDescent="0.25">
      <c r="A11132" t="s">
        <v>704</v>
      </c>
      <c r="B11132" t="s">
        <v>102</v>
      </c>
      <c r="E11132" s="3">
        <f>HYPERLINK("https://sao.dolgi.msk.ru/account/1404286732/", 1404286732)</f>
        <v>1404286732</v>
      </c>
      <c r="F11132">
        <v>-2398.86</v>
      </c>
    </row>
    <row r="11133" spans="1:6" hidden="1" x14ac:dyDescent="0.25">
      <c r="A11133" t="s">
        <v>704</v>
      </c>
      <c r="B11133" t="s">
        <v>103</v>
      </c>
      <c r="E11133" s="3">
        <f>HYPERLINK("https://sao.dolgi.msk.ru/account/1404293473/", 1404293473)</f>
        <v>1404293473</v>
      </c>
      <c r="F11133">
        <v>-1317.27</v>
      </c>
    </row>
    <row r="11134" spans="1:6" x14ac:dyDescent="0.25">
      <c r="A11134" t="s">
        <v>704</v>
      </c>
      <c r="B11134" t="s">
        <v>104</v>
      </c>
      <c r="C11134" s="5" t="str">
        <f t="shared" ref="C11134:C11141" si="464">" кв. "&amp;B11134</f>
        <v xml:space="preserve"> кв. 100</v>
      </c>
      <c r="D11134" s="5" t="str">
        <f>CONCATENATE(A11134,C11134)</f>
        <v>Смольная ул., дом 61 к.1 кв. 100</v>
      </c>
      <c r="E11134" s="3">
        <f>HYPERLINK("https://sao.dolgi.msk.ru/account/1404286724/", 1404286724)</f>
        <v>1404286724</v>
      </c>
      <c r="F11134">
        <v>888.8</v>
      </c>
    </row>
    <row r="11135" spans="1:6" x14ac:dyDescent="0.25">
      <c r="A11135" t="s">
        <v>704</v>
      </c>
      <c r="B11135" t="s">
        <v>104</v>
      </c>
      <c r="C11135" s="5" t="str">
        <f t="shared" si="464"/>
        <v xml:space="preserve"> кв. 100</v>
      </c>
      <c r="D11135" s="5" t="str">
        <f>CONCATENATE(A11135,C11135)</f>
        <v>Смольная ул., дом 61 к.1 кв. 100</v>
      </c>
      <c r="E11135" s="3">
        <f>HYPERLINK("https://sao.dolgi.msk.ru/account/1404289634/", 1404289634)</f>
        <v>1404289634</v>
      </c>
      <c r="F11135">
        <v>888.8</v>
      </c>
    </row>
    <row r="11136" spans="1:6" x14ac:dyDescent="0.25">
      <c r="A11136" t="s">
        <v>704</v>
      </c>
      <c r="B11136" t="s">
        <v>105</v>
      </c>
      <c r="C11136" s="5" t="str">
        <f t="shared" si="464"/>
        <v xml:space="preserve"> кв. 101</v>
      </c>
      <c r="D11136" s="5" t="str">
        <f>CONCATENATE(A11136,C11136)</f>
        <v>Смольная ул., дом 61 к.1 кв. 101</v>
      </c>
      <c r="E11136" s="3">
        <f>HYPERLINK("https://sao.dolgi.msk.ru/account/1404286433/", 1404286433)</f>
        <v>1404286433</v>
      </c>
      <c r="F11136">
        <v>1796.58</v>
      </c>
    </row>
    <row r="11137" spans="1:6" x14ac:dyDescent="0.25">
      <c r="A11137" t="s">
        <v>704</v>
      </c>
      <c r="B11137" t="s">
        <v>106</v>
      </c>
      <c r="C11137" s="5" t="str">
        <f t="shared" si="464"/>
        <v xml:space="preserve"> кв. 102</v>
      </c>
      <c r="D11137" s="5" t="str">
        <f>CONCATENATE(A11137,C11137)</f>
        <v>Смольная ул., дом 61 к.1 кв. 102</v>
      </c>
      <c r="E11137" s="3">
        <f>HYPERLINK("https://sao.dolgi.msk.ru/account/1404287348/", 1404287348)</f>
        <v>1404287348</v>
      </c>
      <c r="F11137">
        <v>1284.18</v>
      </c>
    </row>
    <row r="11138" spans="1:6" x14ac:dyDescent="0.25">
      <c r="A11138" t="s">
        <v>704</v>
      </c>
      <c r="B11138" t="s">
        <v>107</v>
      </c>
      <c r="C11138" s="5" t="str">
        <f t="shared" si="464"/>
        <v xml:space="preserve"> кв. 103</v>
      </c>
      <c r="D11138" s="5" t="str">
        <f>CONCATENATE(A11138,C11138)</f>
        <v>Смольная ул., дом 61 к.1 кв. 103</v>
      </c>
      <c r="E11138" s="3">
        <f>HYPERLINK("https://sao.dolgi.msk.ru/account/1404288471/", 1404288471)</f>
        <v>1404288471</v>
      </c>
      <c r="F11138">
        <v>1647.92</v>
      </c>
    </row>
    <row r="11139" spans="1:6" x14ac:dyDescent="0.25">
      <c r="A11139" t="s">
        <v>704</v>
      </c>
      <c r="B11139" t="s">
        <v>108</v>
      </c>
      <c r="C11139" s="5" t="str">
        <f t="shared" si="464"/>
        <v xml:space="preserve"> кв. 104</v>
      </c>
      <c r="D11139" s="5" t="str">
        <f>CONCATENATE(A11139,C11139)</f>
        <v>Смольная ул., дом 61 к.1 кв. 104</v>
      </c>
      <c r="E11139" s="3">
        <f>HYPERLINK("https://sao.dolgi.msk.ru/account/1404288914/", 1404288914)</f>
        <v>1404288914</v>
      </c>
      <c r="F11139">
        <v>1812.4</v>
      </c>
    </row>
    <row r="11140" spans="1:6" x14ac:dyDescent="0.25">
      <c r="A11140" t="s">
        <v>704</v>
      </c>
      <c r="B11140" t="s">
        <v>109</v>
      </c>
      <c r="C11140" s="5" t="str">
        <f t="shared" si="464"/>
        <v xml:space="preserve"> кв. 105</v>
      </c>
      <c r="D11140" s="5" t="str">
        <f>CONCATENATE(A11140,C11140)</f>
        <v>Смольная ул., дом 61 к.1 кв. 105</v>
      </c>
      <c r="E11140" s="3">
        <f>HYPERLINK("https://sao.dolgi.msk.ru/account/1404290299/", 1404290299)</f>
        <v>1404290299</v>
      </c>
      <c r="F11140">
        <v>1774.44</v>
      </c>
    </row>
    <row r="11141" spans="1:6" x14ac:dyDescent="0.25">
      <c r="A11141" t="s">
        <v>704</v>
      </c>
      <c r="B11141" t="s">
        <v>110</v>
      </c>
      <c r="C11141" s="5" t="str">
        <f t="shared" si="464"/>
        <v xml:space="preserve"> кв. 106</v>
      </c>
      <c r="D11141" s="5" t="str">
        <f>CONCATENATE(A11141,C11141)</f>
        <v>Смольная ул., дом 61 к.1 кв. 106</v>
      </c>
      <c r="E11141" s="3">
        <f>HYPERLINK("https://sao.dolgi.msk.ru/account/1404287268/", 1404287268)</f>
        <v>1404287268</v>
      </c>
      <c r="F11141">
        <v>1793.42</v>
      </c>
    </row>
    <row r="11142" spans="1:6" hidden="1" x14ac:dyDescent="0.25">
      <c r="A11142" t="s">
        <v>704</v>
      </c>
      <c r="B11142" t="s">
        <v>111</v>
      </c>
      <c r="E11142" s="3">
        <f>HYPERLINK("https://sao.dolgi.msk.ru/account/1404292892/", 1404292892)</f>
        <v>1404292892</v>
      </c>
      <c r="F11142">
        <v>-1885.8</v>
      </c>
    </row>
    <row r="11143" spans="1:6" x14ac:dyDescent="0.25">
      <c r="A11143" t="s">
        <v>704</v>
      </c>
      <c r="B11143" t="s">
        <v>112</v>
      </c>
      <c r="C11143" s="5" t="str">
        <f>" кв. "&amp;B11143</f>
        <v xml:space="preserve"> кв. 108</v>
      </c>
      <c r="D11143" s="5" t="str">
        <f>CONCATENATE(A11143,C11143)</f>
        <v>Смольная ул., дом 61 к.1 кв. 108</v>
      </c>
      <c r="E11143" s="3">
        <f>HYPERLINK("https://sao.dolgi.msk.ru/account/1404293158/", 1404293158)</f>
        <v>1404293158</v>
      </c>
      <c r="F11143">
        <v>1641.6</v>
      </c>
    </row>
    <row r="11144" spans="1:6" hidden="1" x14ac:dyDescent="0.25">
      <c r="A11144" t="s">
        <v>704</v>
      </c>
      <c r="B11144" t="s">
        <v>113</v>
      </c>
      <c r="E11144" s="3">
        <f>HYPERLINK("https://sao.dolgi.msk.ru/account/1404290408/", 1404290408)</f>
        <v>1404290408</v>
      </c>
      <c r="F11144">
        <v>-2407.6999999999998</v>
      </c>
    </row>
    <row r="11145" spans="1:6" hidden="1" x14ac:dyDescent="0.25">
      <c r="A11145" t="s">
        <v>704</v>
      </c>
      <c r="B11145" t="s">
        <v>114</v>
      </c>
      <c r="E11145" s="3">
        <f>HYPERLINK("https://sao.dolgi.msk.ru/account/1404291849/", 1404291849)</f>
        <v>1404291849</v>
      </c>
      <c r="F11145">
        <v>-7823.4</v>
      </c>
    </row>
    <row r="11146" spans="1:6" hidden="1" x14ac:dyDescent="0.25">
      <c r="A11146" t="s">
        <v>704</v>
      </c>
      <c r="B11146" t="s">
        <v>115</v>
      </c>
      <c r="E11146" s="3">
        <f>HYPERLINK("https://sao.dolgi.msk.ru/account/1404290811/", 1404290811)</f>
        <v>1404290811</v>
      </c>
      <c r="F11146">
        <v>-821.46</v>
      </c>
    </row>
    <row r="11147" spans="1:6" hidden="1" x14ac:dyDescent="0.25">
      <c r="A11147" t="s">
        <v>704</v>
      </c>
      <c r="B11147" t="s">
        <v>116</v>
      </c>
      <c r="E11147" s="3">
        <f>HYPERLINK("https://sao.dolgi.msk.ru/account/1404292665/", 1404292665)</f>
        <v>1404292665</v>
      </c>
      <c r="F11147">
        <v>-297.66000000000003</v>
      </c>
    </row>
    <row r="11148" spans="1:6" x14ac:dyDescent="0.25">
      <c r="A11148" t="s">
        <v>704</v>
      </c>
      <c r="B11148" t="s">
        <v>117</v>
      </c>
      <c r="C11148" s="5" t="str">
        <f>" кв. "&amp;B11148</f>
        <v xml:space="preserve"> кв. 113</v>
      </c>
      <c r="D11148" s="5" t="str">
        <f>CONCATENATE(A11148,C11148)</f>
        <v>Смольная ул., дом 61 к.1 кв. 113</v>
      </c>
      <c r="E11148" s="3">
        <f>HYPERLINK("https://sao.dolgi.msk.ru/account/1404287858/", 1404287858)</f>
        <v>1404287858</v>
      </c>
      <c r="F11148">
        <v>1644.76</v>
      </c>
    </row>
    <row r="11149" spans="1:6" hidden="1" x14ac:dyDescent="0.25">
      <c r="A11149" t="s">
        <v>704</v>
      </c>
      <c r="B11149" t="s">
        <v>118</v>
      </c>
      <c r="E11149" s="3">
        <f>HYPERLINK("https://sao.dolgi.msk.ru/account/1404288877/", 1404288877)</f>
        <v>1404288877</v>
      </c>
      <c r="F11149">
        <v>0</v>
      </c>
    </row>
    <row r="11150" spans="1:6" hidden="1" x14ac:dyDescent="0.25">
      <c r="A11150" t="s">
        <v>704</v>
      </c>
      <c r="B11150" t="s">
        <v>119</v>
      </c>
      <c r="E11150" s="3">
        <f>HYPERLINK("https://sao.dolgi.msk.ru/account/1404289212/", 1404289212)</f>
        <v>1404289212</v>
      </c>
      <c r="F11150">
        <v>-2602.23</v>
      </c>
    </row>
    <row r="11151" spans="1:6" hidden="1" x14ac:dyDescent="0.25">
      <c r="A11151" t="s">
        <v>704</v>
      </c>
      <c r="B11151" t="s">
        <v>120</v>
      </c>
      <c r="E11151" s="3">
        <f>HYPERLINK("https://sao.dolgi.msk.ru/account/1404289239/", 1404289239)</f>
        <v>1404289239</v>
      </c>
      <c r="F11151">
        <v>0</v>
      </c>
    </row>
    <row r="11152" spans="1:6" hidden="1" x14ac:dyDescent="0.25">
      <c r="A11152" t="s">
        <v>704</v>
      </c>
      <c r="B11152" t="s">
        <v>121</v>
      </c>
      <c r="E11152" s="3">
        <f>HYPERLINK("https://sao.dolgi.msk.ru/account/1404288228/", 1404288228)</f>
        <v>1404288228</v>
      </c>
      <c r="F11152">
        <v>-1890.43</v>
      </c>
    </row>
    <row r="11153" spans="1:6" hidden="1" x14ac:dyDescent="0.25">
      <c r="A11153" t="s">
        <v>704</v>
      </c>
      <c r="B11153" t="s">
        <v>122</v>
      </c>
      <c r="E11153" s="3">
        <f>HYPERLINK("https://sao.dolgi.msk.ru/account/1404291371/", 1404291371)</f>
        <v>1404291371</v>
      </c>
      <c r="F11153">
        <v>0</v>
      </c>
    </row>
    <row r="11154" spans="1:6" hidden="1" x14ac:dyDescent="0.25">
      <c r="A11154" t="s">
        <v>704</v>
      </c>
      <c r="B11154" t="s">
        <v>123</v>
      </c>
      <c r="E11154" s="3">
        <f>HYPERLINK("https://sao.dolgi.msk.ru/account/1404293238/", 1404293238)</f>
        <v>1404293238</v>
      </c>
      <c r="F11154">
        <v>0</v>
      </c>
    </row>
    <row r="11155" spans="1:6" hidden="1" x14ac:dyDescent="0.25">
      <c r="A11155" t="s">
        <v>704</v>
      </c>
      <c r="B11155" t="s">
        <v>124</v>
      </c>
      <c r="E11155" s="3">
        <f>HYPERLINK("https://sao.dolgi.msk.ru/account/1404288359/", 1404288359)</f>
        <v>1404288359</v>
      </c>
      <c r="F11155">
        <v>0</v>
      </c>
    </row>
    <row r="11156" spans="1:6" x14ac:dyDescent="0.25">
      <c r="A11156" t="s">
        <v>704</v>
      </c>
      <c r="B11156" t="s">
        <v>125</v>
      </c>
      <c r="C11156" s="5" t="str">
        <f t="shared" ref="C11156:C11157" si="465">" кв. "&amp;B11156</f>
        <v xml:space="preserve"> кв. 121</v>
      </c>
      <c r="D11156" s="5" t="str">
        <f>CONCATENATE(A11156,C11156)</f>
        <v>Смольная ул., дом 61 к.1 кв. 121</v>
      </c>
      <c r="E11156" s="3">
        <f>HYPERLINK("https://sao.dolgi.msk.ru/account/1404286679/", 1404286679)</f>
        <v>1404286679</v>
      </c>
      <c r="F11156">
        <v>1616.5</v>
      </c>
    </row>
    <row r="11157" spans="1:6" x14ac:dyDescent="0.25">
      <c r="A11157" t="s">
        <v>704</v>
      </c>
      <c r="B11157" t="s">
        <v>126</v>
      </c>
      <c r="C11157" s="5" t="str">
        <f t="shared" si="465"/>
        <v xml:space="preserve"> кв. 122</v>
      </c>
      <c r="D11157" s="5" t="str">
        <f>CONCATENATE(A11157,C11157)</f>
        <v>Смольная ул., дом 61 к.1 кв. 122</v>
      </c>
      <c r="E11157" s="3">
        <f>HYPERLINK("https://sao.dolgi.msk.ru/account/1404287559/", 1404287559)</f>
        <v>1404287559</v>
      </c>
      <c r="F11157">
        <v>564.45000000000005</v>
      </c>
    </row>
    <row r="11158" spans="1:6" hidden="1" x14ac:dyDescent="0.25">
      <c r="A11158" t="s">
        <v>704</v>
      </c>
      <c r="B11158" t="s">
        <v>127</v>
      </c>
      <c r="E11158" s="3">
        <f>HYPERLINK("https://sao.dolgi.msk.ru/account/1404290854/", 1404290854)</f>
        <v>1404290854</v>
      </c>
      <c r="F11158">
        <v>-1849.08</v>
      </c>
    </row>
    <row r="11159" spans="1:6" hidden="1" x14ac:dyDescent="0.25">
      <c r="A11159" t="s">
        <v>704</v>
      </c>
      <c r="B11159" t="s">
        <v>128</v>
      </c>
      <c r="E11159" s="3">
        <f>HYPERLINK("https://sao.dolgi.msk.ru/account/1404289343/", 1404289343)</f>
        <v>1404289343</v>
      </c>
      <c r="F11159">
        <v>-2662.31</v>
      </c>
    </row>
    <row r="11160" spans="1:6" x14ac:dyDescent="0.25">
      <c r="A11160" t="s">
        <v>704</v>
      </c>
      <c r="B11160" t="s">
        <v>129</v>
      </c>
      <c r="C11160" s="5" t="str">
        <f>" кв. "&amp;B11160</f>
        <v xml:space="preserve"> кв. 125</v>
      </c>
      <c r="D11160" s="5" t="str">
        <f>CONCATENATE(A11160,C11160)</f>
        <v>Смольная ул., дом 61 к.1 кв. 125</v>
      </c>
      <c r="E11160" s="3">
        <f>HYPERLINK("https://sao.dolgi.msk.ru/account/1404293078/", 1404293078)</f>
        <v>1404293078</v>
      </c>
      <c r="F11160">
        <v>1644.76</v>
      </c>
    </row>
    <row r="11161" spans="1:6" hidden="1" x14ac:dyDescent="0.25">
      <c r="A11161" t="s">
        <v>704</v>
      </c>
      <c r="B11161" t="s">
        <v>130</v>
      </c>
      <c r="E11161" s="3">
        <f>HYPERLINK("https://sao.dolgi.msk.ru/account/1404287129/", 1404287129)</f>
        <v>1404287129</v>
      </c>
      <c r="F11161">
        <v>-1599.83</v>
      </c>
    </row>
    <row r="11162" spans="1:6" hidden="1" x14ac:dyDescent="0.25">
      <c r="A11162" t="s">
        <v>704</v>
      </c>
      <c r="B11162" t="s">
        <v>131</v>
      </c>
      <c r="E11162" s="3">
        <f>HYPERLINK("https://sao.dolgi.msk.ru/account/1404289861/", 1404289861)</f>
        <v>1404289861</v>
      </c>
      <c r="F11162">
        <v>0</v>
      </c>
    </row>
    <row r="11163" spans="1:6" x14ac:dyDescent="0.25">
      <c r="A11163" t="s">
        <v>704</v>
      </c>
      <c r="B11163" t="s">
        <v>132</v>
      </c>
      <c r="C11163" s="5" t="str">
        <f>" кв. "&amp;B11163</f>
        <v xml:space="preserve"> кв. 128</v>
      </c>
      <c r="D11163" s="5" t="str">
        <f>CONCATENATE(A11163,C11163)</f>
        <v>Смольная ул., дом 61 к.1 кв. 128</v>
      </c>
      <c r="E11163" s="3">
        <f>HYPERLINK("https://sao.dolgi.msk.ru/account/1404286054/", 1404286054)</f>
        <v>1404286054</v>
      </c>
      <c r="F11163">
        <v>1815.56</v>
      </c>
    </row>
    <row r="11164" spans="1:6" hidden="1" x14ac:dyDescent="0.25">
      <c r="A11164" t="s">
        <v>704</v>
      </c>
      <c r="B11164" t="s">
        <v>133</v>
      </c>
      <c r="E11164" s="3">
        <f>HYPERLINK("https://sao.dolgi.msk.ru/account/1404287444/", 1404287444)</f>
        <v>1404287444</v>
      </c>
      <c r="F11164">
        <v>-277.72000000000003</v>
      </c>
    </row>
    <row r="11165" spans="1:6" hidden="1" x14ac:dyDescent="0.25">
      <c r="A11165" t="s">
        <v>704</v>
      </c>
      <c r="B11165" t="s">
        <v>133</v>
      </c>
      <c r="E11165" s="3">
        <f>HYPERLINK("https://sao.dolgi.msk.ru/account/1404291398/", 1404291398)</f>
        <v>1404291398</v>
      </c>
      <c r="F11165">
        <v>-1972.25</v>
      </c>
    </row>
    <row r="11166" spans="1:6" hidden="1" x14ac:dyDescent="0.25">
      <c r="A11166" t="s">
        <v>704</v>
      </c>
      <c r="B11166" t="s">
        <v>134</v>
      </c>
      <c r="E11166" s="3">
        <f>HYPERLINK("https://sao.dolgi.msk.ru/account/1404291937/", 1404291937)</f>
        <v>1404291937</v>
      </c>
      <c r="F11166">
        <v>-2398.86</v>
      </c>
    </row>
    <row r="11167" spans="1:6" hidden="1" x14ac:dyDescent="0.25">
      <c r="A11167" t="s">
        <v>704</v>
      </c>
      <c r="B11167" t="s">
        <v>135</v>
      </c>
      <c r="E11167" s="3">
        <f>HYPERLINK("https://sao.dolgi.msk.ru/account/1404288412/", 1404288412)</f>
        <v>1404288412</v>
      </c>
      <c r="F11167">
        <v>-1631.2</v>
      </c>
    </row>
    <row r="11168" spans="1:6" hidden="1" x14ac:dyDescent="0.25">
      <c r="A11168" t="s">
        <v>704</v>
      </c>
      <c r="B11168" t="s">
        <v>136</v>
      </c>
      <c r="E11168" s="3">
        <f>HYPERLINK("https://sao.dolgi.msk.ru/account/1404289351/", 1404289351)</f>
        <v>1404289351</v>
      </c>
      <c r="F11168">
        <v>-1650.09</v>
      </c>
    </row>
    <row r="11169" spans="1:6" hidden="1" x14ac:dyDescent="0.25">
      <c r="A11169" t="s">
        <v>704</v>
      </c>
      <c r="B11169" t="s">
        <v>137</v>
      </c>
      <c r="E11169" s="3">
        <f>HYPERLINK("https://sao.dolgi.msk.ru/account/1404288922/", 1404288922)</f>
        <v>1404288922</v>
      </c>
      <c r="F11169">
        <v>-2566.13</v>
      </c>
    </row>
    <row r="11170" spans="1:6" hidden="1" x14ac:dyDescent="0.25">
      <c r="A11170" t="s">
        <v>704</v>
      </c>
      <c r="B11170" t="s">
        <v>138</v>
      </c>
      <c r="E11170" s="3">
        <f>HYPERLINK("https://sao.dolgi.msk.ru/account/1404292315/", 1404292315)</f>
        <v>1404292315</v>
      </c>
      <c r="F11170">
        <v>-2648.44</v>
      </c>
    </row>
    <row r="11171" spans="1:6" x14ac:dyDescent="0.25">
      <c r="A11171" t="s">
        <v>704</v>
      </c>
      <c r="B11171" t="s">
        <v>139</v>
      </c>
      <c r="C11171" s="5" t="str">
        <f>" кв. "&amp;B11171</f>
        <v xml:space="preserve"> кв. 135</v>
      </c>
      <c r="D11171" s="5" t="str">
        <f>CONCATENATE(A11171,C11171)</f>
        <v>Смольная ул., дом 61 к.1 кв. 135</v>
      </c>
      <c r="E11171" s="3">
        <f>HYPERLINK("https://sao.dolgi.msk.ru/account/1404287815/", 1404287815)</f>
        <v>1404287815</v>
      </c>
      <c r="F11171">
        <v>1625.78</v>
      </c>
    </row>
    <row r="11172" spans="1:6" hidden="1" x14ac:dyDescent="0.25">
      <c r="A11172" t="s">
        <v>704</v>
      </c>
      <c r="B11172" t="s">
        <v>140</v>
      </c>
      <c r="E11172" s="3">
        <f>HYPERLINK("https://sao.dolgi.msk.ru/account/1404293553/", 1404293553)</f>
        <v>1404293553</v>
      </c>
      <c r="F11172">
        <v>-1580.36</v>
      </c>
    </row>
    <row r="11173" spans="1:6" hidden="1" x14ac:dyDescent="0.25">
      <c r="A11173" t="s">
        <v>704</v>
      </c>
      <c r="B11173" t="s">
        <v>141</v>
      </c>
      <c r="E11173" s="3">
        <f>HYPERLINK("https://sao.dolgi.msk.ru/account/1404286425/", 1404286425)</f>
        <v>1404286425</v>
      </c>
      <c r="F11173">
        <v>-2421.9699999999998</v>
      </c>
    </row>
    <row r="11174" spans="1:6" x14ac:dyDescent="0.25">
      <c r="A11174" t="s">
        <v>704</v>
      </c>
      <c r="B11174" t="s">
        <v>142</v>
      </c>
      <c r="C11174" s="5" t="str">
        <f>" кв. "&amp;B11174</f>
        <v xml:space="preserve"> кв. 138</v>
      </c>
      <c r="D11174" s="5" t="str">
        <f>CONCATENATE(A11174,C11174)</f>
        <v>Смольная ул., дом 61 к.1 кв. 138</v>
      </c>
      <c r="E11174" s="3">
        <f>HYPERLINK("https://sao.dolgi.msk.ru/account/1404290176/", 1404290176)</f>
        <v>1404290176</v>
      </c>
      <c r="F11174">
        <v>1293.6600000000001</v>
      </c>
    </row>
    <row r="11175" spans="1:6" hidden="1" x14ac:dyDescent="0.25">
      <c r="A11175" t="s">
        <v>704</v>
      </c>
      <c r="B11175" t="s">
        <v>143</v>
      </c>
      <c r="E11175" s="3">
        <f>HYPERLINK("https://sao.dolgi.msk.ru/account/1404288279/", 1404288279)</f>
        <v>1404288279</v>
      </c>
      <c r="F11175">
        <v>-2226.52</v>
      </c>
    </row>
    <row r="11176" spans="1:6" hidden="1" x14ac:dyDescent="0.25">
      <c r="A11176" t="s">
        <v>704</v>
      </c>
      <c r="B11176" t="s">
        <v>144</v>
      </c>
      <c r="E11176" s="3">
        <f>HYPERLINK("https://sao.dolgi.msk.ru/account/1404289124/", 1404289124)</f>
        <v>1404289124</v>
      </c>
      <c r="F11176">
        <v>-1386.21</v>
      </c>
    </row>
    <row r="11177" spans="1:6" x14ac:dyDescent="0.25">
      <c r="A11177" t="s">
        <v>704</v>
      </c>
      <c r="B11177" t="s">
        <v>145</v>
      </c>
      <c r="C11177" s="5" t="str">
        <f t="shared" ref="C11177:C11178" si="466">" кв. "&amp;B11177</f>
        <v xml:space="preserve"> кв. 141</v>
      </c>
      <c r="D11177" s="5" t="str">
        <f>CONCATENATE(A11177,C11177)</f>
        <v>Смольная ул., дом 61 к.1 кв. 141</v>
      </c>
      <c r="E11177" s="3">
        <f>HYPERLINK("https://sao.dolgi.msk.ru/account/1404291195/", 1404291195)</f>
        <v>1404291195</v>
      </c>
      <c r="F11177">
        <v>1284.18</v>
      </c>
    </row>
    <row r="11178" spans="1:6" x14ac:dyDescent="0.25">
      <c r="A11178" t="s">
        <v>704</v>
      </c>
      <c r="B11178" t="s">
        <v>146</v>
      </c>
      <c r="C11178" s="5" t="str">
        <f t="shared" si="466"/>
        <v xml:space="preserve"> кв. 142</v>
      </c>
      <c r="D11178" s="5" t="str">
        <f>CONCATENATE(A11178,C11178)</f>
        <v>Смольная ул., дом 61 к.1 кв. 142</v>
      </c>
      <c r="E11178" s="3">
        <f>HYPERLINK("https://sao.dolgi.msk.ru/account/1404293289/", 1404293289)</f>
        <v>1404293289</v>
      </c>
      <c r="F11178">
        <v>1644.76</v>
      </c>
    </row>
    <row r="11179" spans="1:6" hidden="1" x14ac:dyDescent="0.25">
      <c r="A11179" t="s">
        <v>704</v>
      </c>
      <c r="B11179" t="s">
        <v>147</v>
      </c>
      <c r="E11179" s="3">
        <f>HYPERLINK("https://sao.dolgi.msk.ru/account/1404290256/", 1404290256)</f>
        <v>1404290256</v>
      </c>
      <c r="F11179">
        <v>-2666.93</v>
      </c>
    </row>
    <row r="11180" spans="1:6" hidden="1" x14ac:dyDescent="0.25">
      <c r="A11180" t="s">
        <v>704</v>
      </c>
      <c r="B11180" t="s">
        <v>148</v>
      </c>
      <c r="E11180" s="3">
        <f>HYPERLINK("https://sao.dolgi.msk.ru/account/1404290125/", 1404290125)</f>
        <v>1404290125</v>
      </c>
      <c r="F11180">
        <v>-2166.94</v>
      </c>
    </row>
    <row r="11181" spans="1:6" hidden="1" x14ac:dyDescent="0.25">
      <c r="A11181" t="s">
        <v>704</v>
      </c>
      <c r="B11181" t="s">
        <v>149</v>
      </c>
      <c r="E11181" s="3">
        <f>HYPERLINK("https://sao.dolgi.msk.ru/account/1404292788/", 1404292788)</f>
        <v>1404292788</v>
      </c>
      <c r="F11181">
        <v>-2384.9899999999998</v>
      </c>
    </row>
    <row r="11182" spans="1:6" hidden="1" x14ac:dyDescent="0.25">
      <c r="A11182" t="s">
        <v>704</v>
      </c>
      <c r="B11182" t="s">
        <v>150</v>
      </c>
      <c r="E11182" s="3">
        <f>HYPERLINK("https://sao.dolgi.msk.ru/account/1404287778/", 1404287778)</f>
        <v>1404287778</v>
      </c>
      <c r="F11182">
        <v>-1871.94</v>
      </c>
    </row>
    <row r="11183" spans="1:6" hidden="1" x14ac:dyDescent="0.25">
      <c r="A11183" t="s">
        <v>704</v>
      </c>
      <c r="B11183" t="s">
        <v>151</v>
      </c>
      <c r="E11183" s="3">
        <f>HYPERLINK("https://sao.dolgi.msk.ru/account/1404290168/", 1404290168)</f>
        <v>1404290168</v>
      </c>
      <c r="F11183">
        <v>0</v>
      </c>
    </row>
    <row r="11184" spans="1:6" hidden="1" x14ac:dyDescent="0.25">
      <c r="A11184" t="s">
        <v>704</v>
      </c>
      <c r="B11184" t="s">
        <v>152</v>
      </c>
      <c r="E11184" s="3">
        <f>HYPERLINK("https://sao.dolgi.msk.ru/account/1404291806/", 1404291806)</f>
        <v>1404291806</v>
      </c>
      <c r="F11184">
        <v>-4901.49</v>
      </c>
    </row>
    <row r="11185" spans="1:6" hidden="1" x14ac:dyDescent="0.25">
      <c r="A11185" t="s">
        <v>704</v>
      </c>
      <c r="B11185" t="s">
        <v>153</v>
      </c>
      <c r="E11185" s="3">
        <f>HYPERLINK("https://sao.dolgi.msk.ru/account/1404287217/", 1404287217)</f>
        <v>1404287217</v>
      </c>
      <c r="F11185">
        <v>-1704.62</v>
      </c>
    </row>
    <row r="11186" spans="1:6" hidden="1" x14ac:dyDescent="0.25">
      <c r="A11186" t="s">
        <v>704</v>
      </c>
      <c r="B11186" t="s">
        <v>154</v>
      </c>
      <c r="E11186" s="3">
        <f>HYPERLINK("https://sao.dolgi.msk.ru/account/1404290379/", 1404290379)</f>
        <v>1404290379</v>
      </c>
      <c r="F11186">
        <v>-1781.79</v>
      </c>
    </row>
    <row r="11187" spans="1:6" hidden="1" x14ac:dyDescent="0.25">
      <c r="A11187" t="s">
        <v>704</v>
      </c>
      <c r="B11187" t="s">
        <v>155</v>
      </c>
      <c r="E11187" s="3">
        <f>HYPERLINK("https://sao.dolgi.msk.ru/account/1404286687/", 1404286687)</f>
        <v>1404286687</v>
      </c>
      <c r="F11187">
        <v>-1881.18</v>
      </c>
    </row>
    <row r="11188" spans="1:6" hidden="1" x14ac:dyDescent="0.25">
      <c r="A11188" t="s">
        <v>704</v>
      </c>
      <c r="B11188" t="s">
        <v>156</v>
      </c>
      <c r="E11188" s="3">
        <f>HYPERLINK("https://sao.dolgi.msk.ru/account/1404289845/", 1404289845)</f>
        <v>1404289845</v>
      </c>
      <c r="F11188">
        <v>-1645.46</v>
      </c>
    </row>
    <row r="11189" spans="1:6" hidden="1" x14ac:dyDescent="0.25">
      <c r="A11189" t="s">
        <v>704</v>
      </c>
      <c r="B11189" t="s">
        <v>157</v>
      </c>
      <c r="E11189" s="3">
        <f>HYPERLINK("https://sao.dolgi.msk.ru/account/1404292462/", 1404292462)</f>
        <v>1404292462</v>
      </c>
      <c r="F11189">
        <v>-2238.21</v>
      </c>
    </row>
    <row r="11190" spans="1:6" x14ac:dyDescent="0.25">
      <c r="A11190" t="s">
        <v>704</v>
      </c>
      <c r="B11190" t="s">
        <v>158</v>
      </c>
      <c r="C11190" s="5" t="str">
        <f>" кв. "&amp;B11190</f>
        <v xml:space="preserve"> кв. 154</v>
      </c>
      <c r="D11190" s="5" t="str">
        <f>CONCATENATE(A11190,C11190)</f>
        <v>Смольная ул., дом 61 к.1 кв. 154</v>
      </c>
      <c r="E11190" s="3">
        <f>HYPERLINK("https://sao.dolgi.msk.ru/account/1404292024/", 1404292024)</f>
        <v>1404292024</v>
      </c>
      <c r="F11190">
        <v>1815.56</v>
      </c>
    </row>
    <row r="11191" spans="1:6" hidden="1" x14ac:dyDescent="0.25">
      <c r="A11191" t="s">
        <v>704</v>
      </c>
      <c r="B11191" t="s">
        <v>159</v>
      </c>
      <c r="E11191" s="3">
        <f>HYPERLINK("https://sao.dolgi.msk.ru/account/1404287225/", 1404287225)</f>
        <v>1404287225</v>
      </c>
      <c r="F11191">
        <v>-2020.24</v>
      </c>
    </row>
    <row r="11192" spans="1:6" hidden="1" x14ac:dyDescent="0.25">
      <c r="A11192" t="s">
        <v>704</v>
      </c>
      <c r="B11192" t="s">
        <v>160</v>
      </c>
      <c r="E11192" s="3">
        <f>HYPERLINK("https://sao.dolgi.msk.ru/account/1404286871/", 1404286871)</f>
        <v>1404286871</v>
      </c>
      <c r="F11192">
        <v>0</v>
      </c>
    </row>
    <row r="11193" spans="1:6" hidden="1" x14ac:dyDescent="0.25">
      <c r="A11193" t="s">
        <v>704</v>
      </c>
      <c r="B11193" t="s">
        <v>161</v>
      </c>
      <c r="E11193" s="3">
        <f>HYPERLINK("https://sao.dolgi.msk.ru/account/1404291734/", 1404291734)</f>
        <v>1404291734</v>
      </c>
      <c r="F11193">
        <v>-2028.02</v>
      </c>
    </row>
    <row r="11194" spans="1:6" hidden="1" x14ac:dyDescent="0.25">
      <c r="A11194" t="s">
        <v>704</v>
      </c>
      <c r="B11194" t="s">
        <v>162</v>
      </c>
      <c r="E11194" s="3">
        <f>HYPERLINK("https://sao.dolgi.msk.ru/account/1404289079/", 1404289079)</f>
        <v>1404289079</v>
      </c>
      <c r="F11194">
        <v>-1566.19</v>
      </c>
    </row>
    <row r="11195" spans="1:6" x14ac:dyDescent="0.25">
      <c r="A11195" t="s">
        <v>704</v>
      </c>
      <c r="B11195" t="s">
        <v>163</v>
      </c>
      <c r="C11195" s="5" t="str">
        <f t="shared" ref="C11195:C11197" si="467">" кв. "&amp;B11195</f>
        <v xml:space="preserve"> кв. 159</v>
      </c>
      <c r="D11195" s="5" t="str">
        <f>CONCATENATE(A11195,C11195)</f>
        <v>Смольная ул., дом 61 к.1 кв. 159</v>
      </c>
      <c r="E11195" s="3">
        <f>HYPERLINK("https://sao.dolgi.msk.ru/account/1404291793/", 1404291793)</f>
        <v>1404291793</v>
      </c>
      <c r="F11195">
        <v>1812.4</v>
      </c>
    </row>
    <row r="11196" spans="1:6" x14ac:dyDescent="0.25">
      <c r="A11196" t="s">
        <v>704</v>
      </c>
      <c r="B11196" t="s">
        <v>164</v>
      </c>
      <c r="C11196" s="5" t="str">
        <f t="shared" si="467"/>
        <v xml:space="preserve"> кв. 160</v>
      </c>
      <c r="D11196" s="5" t="str">
        <f>CONCATENATE(A11196,C11196)</f>
        <v>Смольная ул., дом 61 к.1 кв. 160</v>
      </c>
      <c r="E11196" s="3">
        <f>HYPERLINK("https://sao.dolgi.msk.ru/account/1404292446/", 1404292446)</f>
        <v>1404292446</v>
      </c>
      <c r="F11196">
        <v>1644.76</v>
      </c>
    </row>
    <row r="11197" spans="1:6" x14ac:dyDescent="0.25">
      <c r="A11197" t="s">
        <v>704</v>
      </c>
      <c r="B11197" t="s">
        <v>165</v>
      </c>
      <c r="C11197" s="5" t="str">
        <f t="shared" si="467"/>
        <v xml:space="preserve"> кв. 161</v>
      </c>
      <c r="D11197" s="5" t="str">
        <f>CONCATENATE(A11197,C11197)</f>
        <v>Смольная ул., дом 61 к.1 кв. 161</v>
      </c>
      <c r="E11197" s="3">
        <f>HYPERLINK("https://sao.dolgi.msk.ru/account/1404290803/", 1404290803)</f>
        <v>1404290803</v>
      </c>
      <c r="F11197">
        <v>768.6</v>
      </c>
    </row>
    <row r="11198" spans="1:6" hidden="1" x14ac:dyDescent="0.25">
      <c r="A11198" t="s">
        <v>704</v>
      </c>
      <c r="B11198" t="s">
        <v>166</v>
      </c>
      <c r="E11198" s="3">
        <f>HYPERLINK("https://sao.dolgi.msk.ru/account/1404292294/", 1404292294)</f>
        <v>1404292294</v>
      </c>
      <c r="F11198">
        <v>0</v>
      </c>
    </row>
    <row r="11199" spans="1:6" hidden="1" x14ac:dyDescent="0.25">
      <c r="A11199" t="s">
        <v>704</v>
      </c>
      <c r="B11199" t="s">
        <v>167</v>
      </c>
      <c r="E11199" s="3">
        <f>HYPERLINK("https://sao.dolgi.msk.ru/account/1404288009/", 1404288009)</f>
        <v>1404288009</v>
      </c>
      <c r="F11199">
        <v>0</v>
      </c>
    </row>
    <row r="11200" spans="1:6" x14ac:dyDescent="0.25">
      <c r="A11200" t="s">
        <v>704</v>
      </c>
      <c r="B11200" t="s">
        <v>167</v>
      </c>
      <c r="C11200" s="5" t="str">
        <f>" кв. "&amp;B11200</f>
        <v xml:space="preserve"> кв. 163</v>
      </c>
      <c r="D11200" s="5" t="str">
        <f>CONCATENATE(A11200,C11200)</f>
        <v>Смольная ул., дом 61 к.1 кв. 163</v>
      </c>
      <c r="E11200" s="3">
        <f>HYPERLINK("https://sao.dolgi.msk.ru/account/1404288519/", 1404288519)</f>
        <v>1404288519</v>
      </c>
      <c r="F11200">
        <v>912.53</v>
      </c>
    </row>
    <row r="11201" spans="1:6" hidden="1" x14ac:dyDescent="0.25">
      <c r="A11201" t="s">
        <v>704</v>
      </c>
      <c r="B11201" t="s">
        <v>168</v>
      </c>
      <c r="E11201" s="3">
        <f>HYPERLINK("https://sao.dolgi.msk.ru/account/1404290416/", 1404290416)</f>
        <v>1404290416</v>
      </c>
      <c r="F11201">
        <v>-1570.07</v>
      </c>
    </row>
    <row r="11202" spans="1:6" hidden="1" x14ac:dyDescent="0.25">
      <c r="A11202" t="s">
        <v>704</v>
      </c>
      <c r="B11202" t="s">
        <v>169</v>
      </c>
      <c r="E11202" s="3">
        <f>HYPERLINK("https://sao.dolgi.msk.ru/account/1404293027/", 1404293027)</f>
        <v>1404293027</v>
      </c>
      <c r="F11202">
        <v>-1636.22</v>
      </c>
    </row>
    <row r="11203" spans="1:6" hidden="1" x14ac:dyDescent="0.25">
      <c r="A11203" t="s">
        <v>704</v>
      </c>
      <c r="B11203" t="s">
        <v>170</v>
      </c>
      <c r="E11203" s="3">
        <f>HYPERLINK("https://sao.dolgi.msk.ru/account/1404288594/", 1404288594)</f>
        <v>1404288594</v>
      </c>
      <c r="F11203">
        <v>-1123.1600000000001</v>
      </c>
    </row>
    <row r="11204" spans="1:6" x14ac:dyDescent="0.25">
      <c r="A11204" t="s">
        <v>704</v>
      </c>
      <c r="B11204" t="s">
        <v>171</v>
      </c>
      <c r="C11204" s="5" t="str">
        <f t="shared" ref="C11204:C11205" si="468">" кв. "&amp;B11204</f>
        <v xml:space="preserve"> кв. 167</v>
      </c>
      <c r="D11204" s="5" t="str">
        <f>CONCATENATE(A11204,C11204)</f>
        <v>Смольная ул., дом 61 к.1 кв. 167</v>
      </c>
      <c r="E11204" s="3">
        <f>HYPERLINK("https://sao.dolgi.msk.ru/account/1404289933/", 1404289933)</f>
        <v>1404289933</v>
      </c>
      <c r="F11204">
        <v>1233.57</v>
      </c>
    </row>
    <row r="11205" spans="1:6" x14ac:dyDescent="0.25">
      <c r="A11205" t="s">
        <v>704</v>
      </c>
      <c r="B11205" t="s">
        <v>172</v>
      </c>
      <c r="C11205" s="5" t="str">
        <f t="shared" si="468"/>
        <v xml:space="preserve"> кв. 168</v>
      </c>
      <c r="D11205" s="5" t="str">
        <f>CONCATENATE(A11205,C11205)</f>
        <v>Смольная ул., дом 61 к.1 кв. 168</v>
      </c>
      <c r="E11205" s="3">
        <f>HYPERLINK("https://sao.dolgi.msk.ru/account/1404289992/", 1404289992)</f>
        <v>1404289992</v>
      </c>
      <c r="F11205">
        <v>1364.05</v>
      </c>
    </row>
    <row r="11206" spans="1:6" hidden="1" x14ac:dyDescent="0.25">
      <c r="A11206" t="s">
        <v>704</v>
      </c>
      <c r="B11206" t="s">
        <v>173</v>
      </c>
      <c r="E11206" s="3">
        <f>HYPERLINK("https://sao.dolgi.msk.ru/account/1404292569/", 1404292569)</f>
        <v>1404292569</v>
      </c>
      <c r="F11206">
        <v>-2403.08</v>
      </c>
    </row>
    <row r="11207" spans="1:6" hidden="1" x14ac:dyDescent="0.25">
      <c r="A11207" t="s">
        <v>704</v>
      </c>
      <c r="B11207" t="s">
        <v>174</v>
      </c>
      <c r="E11207" s="3">
        <f>HYPERLINK("https://sao.dolgi.msk.ru/account/1404289917/", 1404289917)</f>
        <v>1404289917</v>
      </c>
      <c r="F11207">
        <v>-1010.1</v>
      </c>
    </row>
    <row r="11208" spans="1:6" hidden="1" x14ac:dyDescent="0.25">
      <c r="A11208" t="s">
        <v>704</v>
      </c>
      <c r="B11208" t="s">
        <v>174</v>
      </c>
      <c r="E11208" s="3">
        <f>HYPERLINK("https://sao.dolgi.msk.ru/account/1404292323/", 1404292323)</f>
        <v>1404292323</v>
      </c>
      <c r="F11208">
        <v>-1199.42</v>
      </c>
    </row>
    <row r="11209" spans="1:6" hidden="1" x14ac:dyDescent="0.25">
      <c r="A11209" t="s">
        <v>704</v>
      </c>
      <c r="B11209" t="s">
        <v>175</v>
      </c>
      <c r="E11209" s="3">
        <f>HYPERLINK("https://sao.dolgi.msk.ru/account/1404288391/", 1404288391)</f>
        <v>1404288391</v>
      </c>
      <c r="F11209">
        <v>-1899.67</v>
      </c>
    </row>
    <row r="11210" spans="1:6" hidden="1" x14ac:dyDescent="0.25">
      <c r="A11210" t="s">
        <v>704</v>
      </c>
      <c r="B11210" t="s">
        <v>176</v>
      </c>
      <c r="E11210" s="3">
        <f>HYPERLINK("https://sao.dolgi.msk.ru/account/1404286003/", 1404286003)</f>
        <v>1404286003</v>
      </c>
      <c r="F11210">
        <v>-2431.1999999999998</v>
      </c>
    </row>
    <row r="11211" spans="1:6" hidden="1" x14ac:dyDescent="0.25">
      <c r="A11211" t="s">
        <v>704</v>
      </c>
      <c r="B11211" t="s">
        <v>177</v>
      </c>
      <c r="E11211" s="3">
        <f>HYPERLINK("https://sao.dolgi.msk.ru/account/1404291873/", 1404291873)</f>
        <v>1404291873</v>
      </c>
      <c r="F11211">
        <v>-1328.85</v>
      </c>
    </row>
    <row r="11212" spans="1:6" hidden="1" x14ac:dyDescent="0.25">
      <c r="A11212" t="s">
        <v>704</v>
      </c>
      <c r="B11212" t="s">
        <v>178</v>
      </c>
      <c r="E11212" s="3">
        <f>HYPERLINK("https://sao.dolgi.msk.ru/account/1404290205/", 1404290205)</f>
        <v>1404290205</v>
      </c>
      <c r="F11212">
        <v>-2234.3000000000002</v>
      </c>
    </row>
    <row r="11213" spans="1:6" hidden="1" x14ac:dyDescent="0.25">
      <c r="A11213" t="s">
        <v>704</v>
      </c>
      <c r="B11213" t="s">
        <v>179</v>
      </c>
      <c r="E11213" s="3">
        <f>HYPERLINK("https://sao.dolgi.msk.ru/account/1404291144/", 1404291144)</f>
        <v>1404291144</v>
      </c>
      <c r="F11213">
        <v>-2394.23</v>
      </c>
    </row>
    <row r="11214" spans="1:6" x14ac:dyDescent="0.25">
      <c r="A11214" t="s">
        <v>704</v>
      </c>
      <c r="B11214" t="s">
        <v>180</v>
      </c>
      <c r="C11214" s="5" t="str">
        <f>" кв. "&amp;B11214</f>
        <v xml:space="preserve"> кв. 176</v>
      </c>
      <c r="D11214" s="5" t="str">
        <f>CONCATENATE(A11214,C11214)</f>
        <v>Смольная ул., дом 61 к.1 кв. 176</v>
      </c>
      <c r="E11214" s="3">
        <f>HYPERLINK("https://sao.dolgi.msk.ru/account/1404290766/", 1404290766)</f>
        <v>1404290766</v>
      </c>
      <c r="F11214">
        <v>1287.3399999999999</v>
      </c>
    </row>
    <row r="11215" spans="1:6" hidden="1" x14ac:dyDescent="0.25">
      <c r="A11215" t="s">
        <v>704</v>
      </c>
      <c r="B11215" t="s">
        <v>181</v>
      </c>
      <c r="E11215" s="3">
        <f>HYPERLINK("https://sao.dolgi.msk.ru/account/1404290192/", 1404290192)</f>
        <v>1404290192</v>
      </c>
      <c r="F11215">
        <v>-4373.4799999999996</v>
      </c>
    </row>
    <row r="11216" spans="1:6" x14ac:dyDescent="0.25">
      <c r="A11216" t="s">
        <v>704</v>
      </c>
      <c r="B11216" t="s">
        <v>182</v>
      </c>
      <c r="C11216" s="5" t="str">
        <f>" кв. "&amp;B11216</f>
        <v xml:space="preserve"> кв. 178</v>
      </c>
      <c r="D11216" s="5" t="str">
        <f>CONCATENATE(A11216,C11216)</f>
        <v>Смольная ул., дом 61 к.1 кв. 178</v>
      </c>
      <c r="E11216" s="3">
        <f>HYPERLINK("https://sao.dolgi.msk.ru/account/1404292964/", 1404292964)</f>
        <v>1404292964</v>
      </c>
      <c r="F11216">
        <v>1815.56</v>
      </c>
    </row>
    <row r="11217" spans="1:6" hidden="1" x14ac:dyDescent="0.25">
      <c r="A11217" t="s">
        <v>704</v>
      </c>
      <c r="B11217" t="s">
        <v>183</v>
      </c>
      <c r="E11217" s="3">
        <f>HYPERLINK("https://sao.dolgi.msk.ru/account/1404288316/", 1404288316)</f>
        <v>1404288316</v>
      </c>
      <c r="F11217">
        <v>-2509.1</v>
      </c>
    </row>
    <row r="11218" spans="1:6" hidden="1" x14ac:dyDescent="0.25">
      <c r="A11218" t="s">
        <v>704</v>
      </c>
      <c r="B11218" t="s">
        <v>184</v>
      </c>
      <c r="E11218" s="3">
        <f>HYPERLINK("https://sao.dolgi.msk.ru/account/1404290301/", 1404290301)</f>
        <v>1404290301</v>
      </c>
      <c r="F11218">
        <v>-2398.86</v>
      </c>
    </row>
    <row r="11219" spans="1:6" hidden="1" x14ac:dyDescent="0.25">
      <c r="A11219" t="s">
        <v>704</v>
      </c>
      <c r="B11219" t="s">
        <v>185</v>
      </c>
      <c r="E11219" s="3">
        <f>HYPERLINK("https://sao.dolgi.msk.ru/account/1404286337/", 1404286337)</f>
        <v>1404286337</v>
      </c>
      <c r="F11219">
        <v>-1070.1500000000001</v>
      </c>
    </row>
    <row r="11220" spans="1:6" x14ac:dyDescent="0.25">
      <c r="A11220" t="s">
        <v>704</v>
      </c>
      <c r="B11220" t="s">
        <v>186</v>
      </c>
      <c r="C11220" s="5" t="str">
        <f>" кв. "&amp;B11220</f>
        <v xml:space="preserve"> кв. 182</v>
      </c>
      <c r="D11220" s="5" t="str">
        <f>CONCATENATE(A11220,C11220)</f>
        <v>Смольная ул., дом 61 к.1 кв. 182</v>
      </c>
      <c r="E11220" s="3">
        <f>HYPERLINK("https://sao.dolgi.msk.ru/account/1404292235/", 1404292235)</f>
        <v>1404292235</v>
      </c>
      <c r="F11220">
        <v>1145</v>
      </c>
    </row>
    <row r="11221" spans="1:6" hidden="1" x14ac:dyDescent="0.25">
      <c r="A11221" t="s">
        <v>704</v>
      </c>
      <c r="B11221" t="s">
        <v>187</v>
      </c>
      <c r="E11221" s="3">
        <f>HYPERLINK("https://sao.dolgi.msk.ru/account/1404289896/", 1404289896)</f>
        <v>1404289896</v>
      </c>
      <c r="F11221">
        <v>-2653.06</v>
      </c>
    </row>
    <row r="11222" spans="1:6" x14ac:dyDescent="0.25">
      <c r="A11222" t="s">
        <v>704</v>
      </c>
      <c r="B11222" t="s">
        <v>188</v>
      </c>
      <c r="C11222" s="5" t="str">
        <f>" кв. "&amp;B11222</f>
        <v xml:space="preserve"> кв. 184</v>
      </c>
      <c r="D11222" s="5" t="str">
        <f>CONCATENATE(A11222,C11222)</f>
        <v>Смольная ул., дом 61 к.1 кв. 184</v>
      </c>
      <c r="E11222" s="3">
        <f>HYPERLINK("https://sao.dolgi.msk.ru/account/1404293502/", 1404293502)</f>
        <v>1404293502</v>
      </c>
      <c r="F11222">
        <v>1809.24</v>
      </c>
    </row>
    <row r="11223" spans="1:6" hidden="1" x14ac:dyDescent="0.25">
      <c r="A11223" t="s">
        <v>704</v>
      </c>
      <c r="B11223" t="s">
        <v>189</v>
      </c>
      <c r="E11223" s="3">
        <f>HYPERLINK("https://sao.dolgi.msk.ru/account/1404289909/", 1404289909)</f>
        <v>1404289909</v>
      </c>
      <c r="F11223">
        <v>-2384.9899999999998</v>
      </c>
    </row>
    <row r="11224" spans="1:6" x14ac:dyDescent="0.25">
      <c r="A11224" t="s">
        <v>704</v>
      </c>
      <c r="B11224" t="s">
        <v>190</v>
      </c>
      <c r="C11224" s="5" t="str">
        <f>" кв. "&amp;B11224</f>
        <v xml:space="preserve"> кв. 186</v>
      </c>
      <c r="D11224" s="5" t="str">
        <f>CONCATENATE(A11224,C11224)</f>
        <v>Смольная ул., дом 61 к.1 кв. 186</v>
      </c>
      <c r="E11224" s="3">
        <f>HYPERLINK("https://sao.dolgi.msk.ru/account/1404289781/", 1404289781)</f>
        <v>1404289781</v>
      </c>
      <c r="F11224">
        <v>1290.5</v>
      </c>
    </row>
    <row r="11225" spans="1:6" hidden="1" x14ac:dyDescent="0.25">
      <c r="A11225" t="s">
        <v>704</v>
      </c>
      <c r="B11225" t="s">
        <v>191</v>
      </c>
      <c r="E11225" s="3">
        <f>HYPERLINK("https://sao.dolgi.msk.ru/account/1404292083/", 1404292083)</f>
        <v>1404292083</v>
      </c>
      <c r="F11225">
        <v>-2039.69</v>
      </c>
    </row>
    <row r="11226" spans="1:6" hidden="1" x14ac:dyDescent="0.25">
      <c r="A11226" t="s">
        <v>704</v>
      </c>
      <c r="B11226" t="s">
        <v>192</v>
      </c>
      <c r="E11226" s="3">
        <f>HYPERLINK("https://sao.dolgi.msk.ru/account/1404289837/", 1404289837)</f>
        <v>1404289837</v>
      </c>
      <c r="F11226">
        <v>-1752.72</v>
      </c>
    </row>
    <row r="11227" spans="1:6" hidden="1" x14ac:dyDescent="0.25">
      <c r="A11227" t="s">
        <v>704</v>
      </c>
      <c r="B11227" t="s">
        <v>193</v>
      </c>
      <c r="E11227" s="3">
        <f>HYPERLINK("https://sao.dolgi.msk.ru/account/1404293334/", 1404293334)</f>
        <v>1404293334</v>
      </c>
      <c r="F11227">
        <v>-2662.31</v>
      </c>
    </row>
    <row r="11228" spans="1:6" hidden="1" x14ac:dyDescent="0.25">
      <c r="A11228" t="s">
        <v>704</v>
      </c>
      <c r="B11228" t="s">
        <v>194</v>
      </c>
      <c r="E11228" s="3">
        <f>HYPERLINK("https://sao.dolgi.msk.ru/account/1404289693/", 1404289693)</f>
        <v>1404289693</v>
      </c>
      <c r="F11228">
        <v>-2398.86</v>
      </c>
    </row>
    <row r="11229" spans="1:6" hidden="1" x14ac:dyDescent="0.25">
      <c r="A11229" t="s">
        <v>704</v>
      </c>
      <c r="B11229" t="s">
        <v>195</v>
      </c>
      <c r="E11229" s="3">
        <f>HYPERLINK("https://sao.dolgi.msk.ru/account/1404293086/", 1404293086)</f>
        <v>1404293086</v>
      </c>
      <c r="F11229">
        <v>-2188.64</v>
      </c>
    </row>
    <row r="11230" spans="1:6" hidden="1" x14ac:dyDescent="0.25">
      <c r="A11230" t="s">
        <v>704</v>
      </c>
      <c r="B11230" t="s">
        <v>196</v>
      </c>
      <c r="E11230" s="3">
        <f>HYPERLINK("https://sao.dolgi.msk.ru/account/1404287364/", 1404287364)</f>
        <v>1404287364</v>
      </c>
      <c r="F11230">
        <v>-1931.23</v>
      </c>
    </row>
    <row r="11231" spans="1:6" hidden="1" x14ac:dyDescent="0.25">
      <c r="A11231" t="s">
        <v>704</v>
      </c>
      <c r="B11231" t="s">
        <v>197</v>
      </c>
      <c r="E11231" s="3">
        <f>HYPERLINK("https://sao.dolgi.msk.ru/account/1404286185/", 1404286185)</f>
        <v>1404286185</v>
      </c>
      <c r="F11231">
        <v>-2176.19</v>
      </c>
    </row>
    <row r="11232" spans="1:6" hidden="1" x14ac:dyDescent="0.25">
      <c r="A11232" t="s">
        <v>704</v>
      </c>
      <c r="B11232" t="s">
        <v>198</v>
      </c>
      <c r="E11232" s="3">
        <f>HYPERLINK("https://sao.dolgi.msk.ru/account/1404291072/", 1404291072)</f>
        <v>1404291072</v>
      </c>
      <c r="F11232">
        <v>-2648.44</v>
      </c>
    </row>
    <row r="11233" spans="1:6" hidden="1" x14ac:dyDescent="0.25">
      <c r="A11233" t="s">
        <v>704</v>
      </c>
      <c r="B11233" t="s">
        <v>199</v>
      </c>
      <c r="E11233" s="3">
        <f>HYPERLINK("https://sao.dolgi.msk.ru/account/1404293414/", 1404293414)</f>
        <v>1404293414</v>
      </c>
      <c r="F11233">
        <v>-2403.48</v>
      </c>
    </row>
    <row r="11234" spans="1:6" hidden="1" x14ac:dyDescent="0.25">
      <c r="A11234" t="s">
        <v>704</v>
      </c>
      <c r="B11234" t="s">
        <v>200</v>
      </c>
      <c r="E11234" s="3">
        <f>HYPERLINK("https://sao.dolgi.msk.ru/account/1404290483/", 1404290483)</f>
        <v>1404290483</v>
      </c>
      <c r="F11234">
        <v>0</v>
      </c>
    </row>
    <row r="11235" spans="1:6" hidden="1" x14ac:dyDescent="0.25">
      <c r="A11235" t="s">
        <v>704</v>
      </c>
      <c r="B11235" t="s">
        <v>201</v>
      </c>
      <c r="E11235" s="3">
        <f>HYPERLINK("https://sao.dolgi.msk.ru/account/1404291945/", 1404291945)</f>
        <v>1404291945</v>
      </c>
      <c r="F11235">
        <v>-2435.8200000000002</v>
      </c>
    </row>
    <row r="11236" spans="1:6" hidden="1" x14ac:dyDescent="0.25">
      <c r="A11236" t="s">
        <v>704</v>
      </c>
      <c r="B11236" t="s">
        <v>202</v>
      </c>
      <c r="E11236" s="3">
        <f>HYPERLINK("https://sao.dolgi.msk.ru/account/1404288762/", 1404288762)</f>
        <v>1404288762</v>
      </c>
      <c r="F11236">
        <v>-2662.31</v>
      </c>
    </row>
    <row r="11237" spans="1:6" hidden="1" x14ac:dyDescent="0.25">
      <c r="A11237" t="s">
        <v>704</v>
      </c>
      <c r="B11237" t="s">
        <v>203</v>
      </c>
      <c r="E11237" s="3">
        <f>HYPERLINK("https://sao.dolgi.msk.ru/account/1404291101/", 1404291101)</f>
        <v>1404291101</v>
      </c>
      <c r="F11237">
        <v>-2671.55</v>
      </c>
    </row>
    <row r="11238" spans="1:6" hidden="1" x14ac:dyDescent="0.25">
      <c r="A11238" t="s">
        <v>704</v>
      </c>
      <c r="B11238" t="s">
        <v>204</v>
      </c>
      <c r="E11238" s="3">
        <f>HYPERLINK("https://sao.dolgi.msk.ru/account/1404291275/", 1404291275)</f>
        <v>1404291275</v>
      </c>
      <c r="F11238">
        <v>0</v>
      </c>
    </row>
    <row r="11239" spans="1:6" x14ac:dyDescent="0.25">
      <c r="A11239" t="s">
        <v>704</v>
      </c>
      <c r="B11239" t="s">
        <v>205</v>
      </c>
      <c r="C11239" s="5" t="str">
        <f>" кв. "&amp;B11239</f>
        <v xml:space="preserve"> кв. 201</v>
      </c>
      <c r="D11239" s="5" t="str">
        <f>CONCATENATE(A11239,C11239)</f>
        <v>Смольная ул., дом 61 к.1 кв. 201</v>
      </c>
      <c r="E11239" s="3">
        <f>HYPERLINK("https://sao.dolgi.msk.ru/account/1404292577/", 1404292577)</f>
        <v>1404292577</v>
      </c>
      <c r="F11239">
        <v>1296.83</v>
      </c>
    </row>
    <row r="11240" spans="1:6" hidden="1" x14ac:dyDescent="0.25">
      <c r="A11240" t="s">
        <v>704</v>
      </c>
      <c r="B11240" t="s">
        <v>206</v>
      </c>
      <c r="E11240" s="3">
        <f>HYPERLINK("https://sao.dolgi.msk.ru/account/1404286169/", 1404286169)</f>
        <v>1404286169</v>
      </c>
      <c r="F11240">
        <v>-1220.21</v>
      </c>
    </row>
    <row r="11241" spans="1:6" hidden="1" x14ac:dyDescent="0.25">
      <c r="A11241" t="s">
        <v>704</v>
      </c>
      <c r="B11241" t="s">
        <v>207</v>
      </c>
      <c r="E11241" s="3">
        <f>HYPERLINK("https://sao.dolgi.msk.ru/account/1404286556/", 1404286556)</f>
        <v>1404286556</v>
      </c>
      <c r="F11241">
        <v>0</v>
      </c>
    </row>
    <row r="11242" spans="1:6" x14ac:dyDescent="0.25">
      <c r="A11242" t="s">
        <v>704</v>
      </c>
      <c r="B11242" t="s">
        <v>208</v>
      </c>
      <c r="C11242" s="5" t="str">
        <f t="shared" ref="C11242:C11243" si="469">" кв. "&amp;B11242</f>
        <v xml:space="preserve"> кв. 204</v>
      </c>
      <c r="D11242" s="5" t="str">
        <f>CONCATENATE(A11242,C11242)</f>
        <v>Смольная ул., дом 61 к.1 кв. 204</v>
      </c>
      <c r="E11242" s="3">
        <f>HYPERLINK("https://sao.dolgi.msk.ru/account/1404287145/", 1404287145)</f>
        <v>1404287145</v>
      </c>
      <c r="F11242">
        <v>1821.89</v>
      </c>
    </row>
    <row r="11243" spans="1:6" x14ac:dyDescent="0.25">
      <c r="A11243" t="s">
        <v>704</v>
      </c>
      <c r="B11243" t="s">
        <v>209</v>
      </c>
      <c r="C11243" s="5" t="str">
        <f t="shared" si="469"/>
        <v xml:space="preserve"> кв. 205</v>
      </c>
      <c r="D11243" s="5" t="str">
        <f>CONCATENATE(A11243,C11243)</f>
        <v>Смольная ул., дом 61 к.1 кв. 205</v>
      </c>
      <c r="E11243" s="3">
        <f>HYPERLINK("https://sao.dolgi.msk.ru/account/1404292518/", 1404292518)</f>
        <v>1404292518</v>
      </c>
      <c r="F11243">
        <v>1122.8599999999999</v>
      </c>
    </row>
    <row r="11244" spans="1:6" hidden="1" x14ac:dyDescent="0.25">
      <c r="A11244" t="s">
        <v>704</v>
      </c>
      <c r="B11244" t="s">
        <v>210</v>
      </c>
      <c r="E11244" s="3">
        <f>HYPERLINK("https://sao.dolgi.msk.ru/account/1404288607/", 1404288607)</f>
        <v>1404288607</v>
      </c>
      <c r="F11244">
        <v>-1895.05</v>
      </c>
    </row>
    <row r="11245" spans="1:6" hidden="1" x14ac:dyDescent="0.25">
      <c r="A11245" t="s">
        <v>704</v>
      </c>
      <c r="B11245" t="s">
        <v>211</v>
      </c>
      <c r="E11245" s="3">
        <f>HYPERLINK("https://sao.dolgi.msk.ru/account/1404288199/", 1404288199)</f>
        <v>1404288199</v>
      </c>
      <c r="F11245">
        <v>-2039.69</v>
      </c>
    </row>
    <row r="11246" spans="1:6" hidden="1" x14ac:dyDescent="0.25">
      <c r="A11246" t="s">
        <v>704</v>
      </c>
      <c r="B11246" t="s">
        <v>212</v>
      </c>
      <c r="E11246" s="3">
        <f>HYPERLINK("https://sao.dolgi.msk.ru/account/1404289503/", 1404289503)</f>
        <v>1404289503</v>
      </c>
      <c r="F11246">
        <v>-1340.39</v>
      </c>
    </row>
    <row r="11247" spans="1:6" hidden="1" x14ac:dyDescent="0.25">
      <c r="A11247" t="s">
        <v>704</v>
      </c>
      <c r="B11247" t="s">
        <v>212</v>
      </c>
      <c r="E11247" s="3">
        <f>HYPERLINK("https://sao.dolgi.msk.ru/account/1404292657/", 1404292657)</f>
        <v>1404292657</v>
      </c>
      <c r="F11247">
        <v>-1340.39</v>
      </c>
    </row>
    <row r="11248" spans="1:6" hidden="1" x14ac:dyDescent="0.25">
      <c r="A11248" t="s">
        <v>704</v>
      </c>
      <c r="B11248" t="s">
        <v>213</v>
      </c>
      <c r="E11248" s="3">
        <f>HYPERLINK("https://sao.dolgi.msk.ru/account/1404288201/", 1404288201)</f>
        <v>1404288201</v>
      </c>
      <c r="F11248">
        <v>0</v>
      </c>
    </row>
    <row r="11249" spans="1:6" hidden="1" x14ac:dyDescent="0.25">
      <c r="A11249" t="s">
        <v>704</v>
      </c>
      <c r="B11249" t="s">
        <v>214</v>
      </c>
      <c r="E11249" s="3">
        <f>HYPERLINK("https://sao.dolgi.msk.ru/account/1404286839/", 1404286839)</f>
        <v>1404286839</v>
      </c>
      <c r="F11249">
        <v>-2408.1</v>
      </c>
    </row>
    <row r="11250" spans="1:6" hidden="1" x14ac:dyDescent="0.25">
      <c r="A11250" t="s">
        <v>704</v>
      </c>
      <c r="B11250" t="s">
        <v>215</v>
      </c>
      <c r="E11250" s="3">
        <f>HYPERLINK("https://sao.dolgi.msk.ru/account/1404293297/", 1404293297)</f>
        <v>1404293297</v>
      </c>
      <c r="F11250">
        <v>-1123.1600000000001</v>
      </c>
    </row>
    <row r="11251" spans="1:6" hidden="1" x14ac:dyDescent="0.25">
      <c r="A11251" t="s">
        <v>704</v>
      </c>
      <c r="B11251" t="s">
        <v>216</v>
      </c>
      <c r="E11251" s="3">
        <f>HYPERLINK("https://sao.dolgi.msk.ru/account/1404286409/", 1404286409)</f>
        <v>1404286409</v>
      </c>
      <c r="F11251">
        <v>-1593.12</v>
      </c>
    </row>
    <row r="11252" spans="1:6" hidden="1" x14ac:dyDescent="0.25">
      <c r="A11252" t="s">
        <v>704</v>
      </c>
      <c r="B11252" t="s">
        <v>217</v>
      </c>
      <c r="E11252" s="3">
        <f>HYPERLINK("https://sao.dolgi.msk.ru/account/1404290555/", 1404290555)</f>
        <v>1404290555</v>
      </c>
      <c r="F11252">
        <v>-5521.56</v>
      </c>
    </row>
    <row r="11253" spans="1:6" hidden="1" x14ac:dyDescent="0.25">
      <c r="A11253" t="s">
        <v>704</v>
      </c>
      <c r="B11253" t="s">
        <v>218</v>
      </c>
      <c r="E11253" s="3">
        <f>HYPERLINK("https://sao.dolgi.msk.ru/account/1404292251/", 1404292251)</f>
        <v>1404292251</v>
      </c>
      <c r="F11253">
        <v>-2662.31</v>
      </c>
    </row>
    <row r="11254" spans="1:6" hidden="1" x14ac:dyDescent="0.25">
      <c r="A11254" t="s">
        <v>704</v>
      </c>
      <c r="B11254" t="s">
        <v>219</v>
      </c>
      <c r="E11254" s="3">
        <f>HYPERLINK("https://sao.dolgi.msk.ru/account/1404289247/", 1404289247)</f>
        <v>1404289247</v>
      </c>
      <c r="F11254">
        <v>-2412.73</v>
      </c>
    </row>
    <row r="11255" spans="1:6" x14ac:dyDescent="0.25">
      <c r="A11255" t="s">
        <v>704</v>
      </c>
      <c r="B11255" t="s">
        <v>220</v>
      </c>
      <c r="C11255" s="5" t="str">
        <f>" кв. "&amp;B11255</f>
        <v xml:space="preserve"> кв. 216</v>
      </c>
      <c r="D11255" s="5" t="str">
        <f>CONCATENATE(A11255,C11255)</f>
        <v>Смольная ул., дом 61 к.1 кв. 216</v>
      </c>
      <c r="E11255" s="3">
        <f>HYPERLINK("https://sao.dolgi.msk.ru/account/1404293684/", 1404293684)</f>
        <v>1404293684</v>
      </c>
      <c r="F11255">
        <v>1303.1600000000001</v>
      </c>
    </row>
    <row r="11256" spans="1:6" hidden="1" x14ac:dyDescent="0.25">
      <c r="A11256" t="s">
        <v>704</v>
      </c>
      <c r="B11256" t="s">
        <v>221</v>
      </c>
      <c r="E11256" s="3">
        <f>HYPERLINK("https://sao.dolgi.msk.ru/account/1404292403/", 1404292403)</f>
        <v>1404292403</v>
      </c>
      <c r="F11256">
        <v>-2431.1999999999998</v>
      </c>
    </row>
    <row r="11257" spans="1:6" hidden="1" x14ac:dyDescent="0.25">
      <c r="A11257" t="s">
        <v>704</v>
      </c>
      <c r="B11257" t="s">
        <v>222</v>
      </c>
      <c r="E11257" s="3">
        <f>HYPERLINK("https://sao.dolgi.msk.ru/account/1404287663/", 1404287663)</f>
        <v>1404287663</v>
      </c>
      <c r="F11257">
        <v>-2257.6799999999998</v>
      </c>
    </row>
    <row r="11258" spans="1:6" x14ac:dyDescent="0.25">
      <c r="A11258" t="s">
        <v>704</v>
      </c>
      <c r="B11258" t="s">
        <v>223</v>
      </c>
      <c r="C11258" s="5" t="str">
        <f t="shared" ref="C11258:C11259" si="470">" кв. "&amp;B11258</f>
        <v xml:space="preserve"> кв. 219</v>
      </c>
      <c r="D11258" s="5" t="str">
        <f>CONCATENATE(A11258,C11258)</f>
        <v>Смольная ул., дом 61 к.1 кв. 219</v>
      </c>
      <c r="E11258" s="3">
        <f>HYPERLINK("https://sao.dolgi.msk.ru/account/1404288244/", 1404288244)</f>
        <v>1404288244</v>
      </c>
      <c r="F11258">
        <v>917.27</v>
      </c>
    </row>
    <row r="11259" spans="1:6" x14ac:dyDescent="0.25">
      <c r="A11259" t="s">
        <v>704</v>
      </c>
      <c r="B11259" t="s">
        <v>224</v>
      </c>
      <c r="C11259" s="5" t="str">
        <f t="shared" si="470"/>
        <v xml:space="preserve"> кв. 220</v>
      </c>
      <c r="D11259" s="5" t="str">
        <f>CONCATENATE(A11259,C11259)</f>
        <v>Смольная ул., дом 61 к.1 кв. 220</v>
      </c>
      <c r="E11259" s="3">
        <f>HYPERLINK("https://sao.dolgi.msk.ru/account/1404293174/", 1404293174)</f>
        <v>1404293174</v>
      </c>
      <c r="F11259">
        <v>1657.41</v>
      </c>
    </row>
    <row r="11260" spans="1:6" hidden="1" x14ac:dyDescent="0.25">
      <c r="A11260" t="s">
        <v>704</v>
      </c>
      <c r="B11260" t="s">
        <v>225</v>
      </c>
      <c r="E11260" s="3">
        <f>HYPERLINK("https://sao.dolgi.msk.ru/account/1404288586/", 1404288586)</f>
        <v>1404288586</v>
      </c>
      <c r="F11260">
        <v>-1895.05</v>
      </c>
    </row>
    <row r="11261" spans="1:6" x14ac:dyDescent="0.25">
      <c r="A11261" t="s">
        <v>704</v>
      </c>
      <c r="B11261" t="s">
        <v>226</v>
      </c>
      <c r="C11261" s="5" t="str">
        <f t="shared" ref="C11261:C11262" si="471">" кв. "&amp;B11261</f>
        <v xml:space="preserve"> кв. 222</v>
      </c>
      <c r="D11261" s="5" t="str">
        <f>CONCATENATE(A11261,C11261)</f>
        <v>Смольная ул., дом 61 к.1 кв. 222</v>
      </c>
      <c r="E11261" s="3">
        <f>HYPERLINK("https://sao.dolgi.msk.ru/account/1404292075/", 1404292075)</f>
        <v>1404292075</v>
      </c>
      <c r="F11261">
        <v>1666.9</v>
      </c>
    </row>
    <row r="11262" spans="1:6" x14ac:dyDescent="0.25">
      <c r="A11262" t="s">
        <v>704</v>
      </c>
      <c r="B11262" t="s">
        <v>227</v>
      </c>
      <c r="C11262" s="5" t="str">
        <f t="shared" si="471"/>
        <v xml:space="preserve"> кв. 223</v>
      </c>
      <c r="D11262" s="5" t="str">
        <f>CONCATENATE(A11262,C11262)</f>
        <v>Смольная ул., дом 61 к.1 кв. 223</v>
      </c>
      <c r="E11262" s="3">
        <f>HYPERLINK("https://sao.dolgi.msk.ru/account/1404288164/", 1404288164)</f>
        <v>1404288164</v>
      </c>
      <c r="F11262">
        <v>1837.7</v>
      </c>
    </row>
    <row r="11263" spans="1:6" hidden="1" x14ac:dyDescent="0.25">
      <c r="A11263" t="s">
        <v>704</v>
      </c>
      <c r="B11263" t="s">
        <v>228</v>
      </c>
      <c r="E11263" s="3">
        <f>HYPERLINK("https://sao.dolgi.msk.ru/account/1404286134/", 1404286134)</f>
        <v>1404286134</v>
      </c>
      <c r="F11263">
        <v>0</v>
      </c>
    </row>
    <row r="11264" spans="1:6" hidden="1" x14ac:dyDescent="0.25">
      <c r="A11264" t="s">
        <v>704</v>
      </c>
      <c r="B11264" t="s">
        <v>228</v>
      </c>
      <c r="E11264" s="3">
        <f>HYPERLINK("https://sao.dolgi.msk.ru/account/1404287655/", 1404287655)</f>
        <v>1404287655</v>
      </c>
      <c r="F11264">
        <v>0</v>
      </c>
    </row>
    <row r="11265" spans="1:6" hidden="1" x14ac:dyDescent="0.25">
      <c r="A11265" t="s">
        <v>704</v>
      </c>
      <c r="B11265" t="s">
        <v>229</v>
      </c>
      <c r="E11265" s="3">
        <f>HYPERLINK("https://sao.dolgi.msk.ru/account/1404286628/", 1404286628)</f>
        <v>1404286628</v>
      </c>
      <c r="F11265">
        <v>-1584.14</v>
      </c>
    </row>
    <row r="11266" spans="1:6" x14ac:dyDescent="0.25">
      <c r="A11266" t="s">
        <v>704</v>
      </c>
      <c r="B11266" t="s">
        <v>230</v>
      </c>
      <c r="C11266" s="5" t="str">
        <f>" кв. "&amp;B11266</f>
        <v xml:space="preserve"> кв. 226</v>
      </c>
      <c r="D11266" s="5" t="str">
        <f>CONCATENATE(A11266,C11266)</f>
        <v>Смольная ул., дом 61 к.1 кв. 226</v>
      </c>
      <c r="E11266" s="3">
        <f>HYPERLINK("https://sao.dolgi.msk.ru/account/1404291291/", 1404291291)</f>
        <v>1404291291</v>
      </c>
      <c r="F11266">
        <v>1284.18</v>
      </c>
    </row>
    <row r="11267" spans="1:6" hidden="1" x14ac:dyDescent="0.25">
      <c r="A11267" t="s">
        <v>704</v>
      </c>
      <c r="B11267" t="s">
        <v>231</v>
      </c>
      <c r="E11267" s="3">
        <f>HYPERLINK("https://sao.dolgi.msk.ru/account/1404287305/", 1404287305)</f>
        <v>1404287305</v>
      </c>
      <c r="F11267">
        <v>-2440.44</v>
      </c>
    </row>
    <row r="11268" spans="1:6" hidden="1" x14ac:dyDescent="0.25">
      <c r="A11268" t="s">
        <v>704</v>
      </c>
      <c r="B11268" t="s">
        <v>232</v>
      </c>
      <c r="E11268" s="3">
        <f>HYPERLINK("https://sao.dolgi.msk.ru/account/1404293182/", 1404293182)</f>
        <v>1404293182</v>
      </c>
      <c r="F11268">
        <v>-2657.69</v>
      </c>
    </row>
    <row r="11269" spans="1:6" hidden="1" x14ac:dyDescent="0.25">
      <c r="A11269" t="s">
        <v>704</v>
      </c>
      <c r="B11269" t="s">
        <v>233</v>
      </c>
      <c r="E11269" s="3">
        <f>HYPERLINK("https://sao.dolgi.msk.ru/account/1404286759/", 1404286759)</f>
        <v>1404286759</v>
      </c>
      <c r="F11269">
        <v>-1577.86</v>
      </c>
    </row>
    <row r="11270" spans="1:6" hidden="1" x14ac:dyDescent="0.25">
      <c r="A11270" t="s">
        <v>704</v>
      </c>
      <c r="B11270" t="s">
        <v>234</v>
      </c>
      <c r="E11270" s="3">
        <f>HYPERLINK("https://sao.dolgi.msk.ru/account/1404289925/", 1404289925)</f>
        <v>1404289925</v>
      </c>
      <c r="F11270">
        <v>-1587.19</v>
      </c>
    </row>
    <row r="11271" spans="1:6" hidden="1" x14ac:dyDescent="0.25">
      <c r="A11271" t="s">
        <v>704</v>
      </c>
      <c r="B11271" t="s">
        <v>235</v>
      </c>
      <c r="E11271" s="3">
        <f>HYPERLINK("https://sao.dolgi.msk.ru/account/1404293107/", 1404293107)</f>
        <v>1404293107</v>
      </c>
      <c r="F11271">
        <v>-1132.4100000000001</v>
      </c>
    </row>
    <row r="11272" spans="1:6" hidden="1" x14ac:dyDescent="0.25">
      <c r="A11272" t="s">
        <v>704</v>
      </c>
      <c r="B11272" t="s">
        <v>239</v>
      </c>
      <c r="E11272" s="3">
        <f>HYPERLINK("https://sao.dolgi.msk.ru/account/1404287719/", 1404287719)</f>
        <v>1404287719</v>
      </c>
      <c r="F11272">
        <v>0</v>
      </c>
    </row>
    <row r="11273" spans="1:6" hidden="1" x14ac:dyDescent="0.25">
      <c r="A11273" t="s">
        <v>704</v>
      </c>
      <c r="B11273" t="s">
        <v>240</v>
      </c>
      <c r="E11273" s="3">
        <f>HYPERLINK("https://sao.dolgi.msk.ru/account/1404287241/", 1404287241)</f>
        <v>1404287241</v>
      </c>
      <c r="F11273">
        <v>-840.42</v>
      </c>
    </row>
    <row r="11274" spans="1:6" x14ac:dyDescent="0.25">
      <c r="A11274" t="s">
        <v>704</v>
      </c>
      <c r="B11274" t="s">
        <v>241</v>
      </c>
      <c r="C11274" s="5" t="str">
        <f>" кв. "&amp;B11274</f>
        <v xml:space="preserve"> кв. 234</v>
      </c>
      <c r="D11274" s="5" t="str">
        <f>CONCATENATE(A11274,C11274)</f>
        <v>Смольная ул., дом 61 к.1 кв. 234</v>
      </c>
      <c r="E11274" s="3">
        <f>HYPERLINK("https://sao.dolgi.msk.ru/account/1404289263/", 1404289263)</f>
        <v>1404289263</v>
      </c>
      <c r="F11274">
        <v>1518.24</v>
      </c>
    </row>
    <row r="11275" spans="1:6" hidden="1" x14ac:dyDescent="0.25">
      <c r="A11275" t="s">
        <v>704</v>
      </c>
      <c r="B11275" t="s">
        <v>242</v>
      </c>
      <c r="E11275" s="3">
        <f>HYPERLINK("https://sao.dolgi.msk.ru/account/1404290977/", 1404290977)</f>
        <v>1404290977</v>
      </c>
      <c r="F11275">
        <v>-2398.86</v>
      </c>
    </row>
    <row r="11276" spans="1:6" hidden="1" x14ac:dyDescent="0.25">
      <c r="A11276" t="s">
        <v>704</v>
      </c>
      <c r="B11276" t="s">
        <v>243</v>
      </c>
      <c r="E11276" s="3">
        <f>HYPERLINK("https://sao.dolgi.msk.ru/account/1404293393/", 1404293393)</f>
        <v>1404293393</v>
      </c>
      <c r="F11276">
        <v>-1899.67</v>
      </c>
    </row>
    <row r="11277" spans="1:6" x14ac:dyDescent="0.25">
      <c r="A11277" t="s">
        <v>704</v>
      </c>
      <c r="B11277" t="s">
        <v>244</v>
      </c>
      <c r="C11277" s="5" t="str">
        <f>" кв. "&amp;B11277</f>
        <v xml:space="preserve"> кв. 237</v>
      </c>
      <c r="D11277" s="5" t="str">
        <f>CONCATENATE(A11277,C11277)</f>
        <v>Смольная ул., дом 61 к.1 кв. 237</v>
      </c>
      <c r="E11277" s="3">
        <f>HYPERLINK("https://sao.dolgi.msk.ru/account/1404291128/", 1404291128)</f>
        <v>1404291128</v>
      </c>
      <c r="F11277">
        <v>1247.81</v>
      </c>
    </row>
    <row r="11278" spans="1:6" hidden="1" x14ac:dyDescent="0.25">
      <c r="A11278" t="s">
        <v>704</v>
      </c>
      <c r="B11278" t="s">
        <v>245</v>
      </c>
      <c r="E11278" s="3">
        <f>HYPERLINK("https://sao.dolgi.msk.ru/account/1404289722/", 1404289722)</f>
        <v>1404289722</v>
      </c>
      <c r="F11278">
        <v>0</v>
      </c>
    </row>
    <row r="11279" spans="1:6" x14ac:dyDescent="0.25">
      <c r="A11279" t="s">
        <v>704</v>
      </c>
      <c r="B11279" t="s">
        <v>246</v>
      </c>
      <c r="C11279" s="5" t="str">
        <f t="shared" ref="C11279:C11280" si="472">" кв. "&amp;B11279</f>
        <v xml:space="preserve"> кв. 239</v>
      </c>
      <c r="D11279" s="5" t="str">
        <f>CONCATENATE(A11279,C11279)</f>
        <v>Смольная ул., дом 61 к.1 кв. 239</v>
      </c>
      <c r="E11279" s="3">
        <f>HYPERLINK("https://sao.dolgi.msk.ru/account/1404290862/", 1404290862)</f>
        <v>1404290862</v>
      </c>
      <c r="F11279">
        <v>2215.4</v>
      </c>
    </row>
    <row r="11280" spans="1:6" x14ac:dyDescent="0.25">
      <c r="A11280" t="s">
        <v>704</v>
      </c>
      <c r="B11280" t="s">
        <v>247</v>
      </c>
      <c r="C11280" s="5" t="str">
        <f t="shared" si="472"/>
        <v xml:space="preserve"> кв. 240</v>
      </c>
      <c r="D11280" s="5" t="str">
        <f>CONCATENATE(A11280,C11280)</f>
        <v>Смольная ул., дом 61 к.1 кв. 240</v>
      </c>
      <c r="E11280" s="3">
        <f>HYPERLINK("https://sao.dolgi.msk.ru/account/1404292737/", 1404292737)</f>
        <v>1404292737</v>
      </c>
      <c r="F11280">
        <v>1089.1500000000001</v>
      </c>
    </row>
    <row r="11281" spans="1:6" hidden="1" x14ac:dyDescent="0.25">
      <c r="A11281" t="s">
        <v>704</v>
      </c>
      <c r="B11281" t="s">
        <v>248</v>
      </c>
      <c r="E11281" s="3">
        <f>HYPERLINK("https://sao.dolgi.msk.ru/account/1404289773/", 1404289773)</f>
        <v>1404289773</v>
      </c>
      <c r="F11281">
        <v>-2257.54</v>
      </c>
    </row>
    <row r="11282" spans="1:6" hidden="1" x14ac:dyDescent="0.25">
      <c r="A11282" t="s">
        <v>704</v>
      </c>
      <c r="B11282" t="s">
        <v>249</v>
      </c>
      <c r="E11282" s="3">
        <f>HYPERLINK("https://sao.dolgi.msk.ru/account/1404291718/", 1404291718)</f>
        <v>1404291718</v>
      </c>
      <c r="F11282">
        <v>-3457.3</v>
      </c>
    </row>
    <row r="11283" spans="1:6" hidden="1" x14ac:dyDescent="0.25">
      <c r="A11283" t="s">
        <v>704</v>
      </c>
      <c r="B11283" t="s">
        <v>250</v>
      </c>
      <c r="E11283" s="3">
        <f>HYPERLINK("https://sao.dolgi.msk.ru/account/1404286994/", 1404286994)</f>
        <v>1404286994</v>
      </c>
      <c r="F11283">
        <v>-1525.88</v>
      </c>
    </row>
    <row r="11284" spans="1:6" hidden="1" x14ac:dyDescent="0.25">
      <c r="A11284" t="s">
        <v>704</v>
      </c>
      <c r="B11284" t="s">
        <v>251</v>
      </c>
      <c r="E11284" s="3">
        <f>HYPERLINK("https://sao.dolgi.msk.ru/account/1404289685/", 1404289685)</f>
        <v>1404289685</v>
      </c>
      <c r="F11284">
        <v>-2021</v>
      </c>
    </row>
    <row r="11285" spans="1:6" hidden="1" x14ac:dyDescent="0.25">
      <c r="A11285" t="s">
        <v>704</v>
      </c>
      <c r="B11285" t="s">
        <v>252</v>
      </c>
      <c r="E11285" s="3">
        <f>HYPERLINK("https://sao.dolgi.msk.ru/account/1404287807/", 1404287807)</f>
        <v>1404287807</v>
      </c>
      <c r="F11285">
        <v>-2528.2800000000002</v>
      </c>
    </row>
    <row r="11286" spans="1:6" hidden="1" x14ac:dyDescent="0.25">
      <c r="A11286" t="s">
        <v>704</v>
      </c>
      <c r="B11286" t="s">
        <v>253</v>
      </c>
      <c r="E11286" s="3">
        <f>HYPERLINK("https://sao.dolgi.msk.ru/account/1404293246/", 1404293246)</f>
        <v>1404293246</v>
      </c>
      <c r="F11286">
        <v>-2538.4699999999998</v>
      </c>
    </row>
    <row r="11287" spans="1:6" x14ac:dyDescent="0.25">
      <c r="A11287" t="s">
        <v>704</v>
      </c>
      <c r="B11287" t="s">
        <v>254</v>
      </c>
      <c r="C11287" s="5" t="str">
        <f>" кв. "&amp;B11287</f>
        <v xml:space="preserve"> кв. 247</v>
      </c>
      <c r="D11287" s="5" t="str">
        <f>CONCATENATE(A11287,C11287)</f>
        <v>Смольная ул., дом 61 к.1 кв. 247</v>
      </c>
      <c r="E11287" s="3">
        <f>HYPERLINK("https://sao.dolgi.msk.ru/account/1404287575/", 1404287575)</f>
        <v>1404287575</v>
      </c>
      <c r="F11287">
        <v>1230.4100000000001</v>
      </c>
    </row>
    <row r="11288" spans="1:6" hidden="1" x14ac:dyDescent="0.25">
      <c r="A11288" t="s">
        <v>704</v>
      </c>
      <c r="B11288" t="s">
        <v>255</v>
      </c>
      <c r="E11288" s="3">
        <f>HYPERLINK("https://sao.dolgi.msk.ru/account/1404289941/", 1404289941)</f>
        <v>1404289941</v>
      </c>
      <c r="F11288">
        <v>0</v>
      </c>
    </row>
    <row r="11289" spans="1:6" hidden="1" x14ac:dyDescent="0.25">
      <c r="A11289" t="s">
        <v>704</v>
      </c>
      <c r="B11289" t="s">
        <v>256</v>
      </c>
      <c r="E11289" s="3">
        <f>HYPERLINK("https://sao.dolgi.msk.ru/account/1404290475/", 1404290475)</f>
        <v>1404290475</v>
      </c>
      <c r="F11289">
        <v>-2519.04</v>
      </c>
    </row>
    <row r="11290" spans="1:6" x14ac:dyDescent="0.25">
      <c r="A11290" t="s">
        <v>704</v>
      </c>
      <c r="B11290" t="s">
        <v>257</v>
      </c>
      <c r="C11290" s="5" t="str">
        <f t="shared" ref="C11290:C11291" si="473">" кв. "&amp;B11290</f>
        <v xml:space="preserve"> кв. 250</v>
      </c>
      <c r="D11290" s="5" t="str">
        <f>CONCATENATE(A11290,C11290)</f>
        <v>Смольная ул., дом 61 к.1 кв. 250</v>
      </c>
      <c r="E11290" s="3">
        <f>HYPERLINK("https://sao.dolgi.msk.ru/account/1404291507/", 1404291507)</f>
        <v>1404291507</v>
      </c>
      <c r="F11290">
        <v>2350.11</v>
      </c>
    </row>
    <row r="11291" spans="1:6" x14ac:dyDescent="0.25">
      <c r="A11291" t="s">
        <v>704</v>
      </c>
      <c r="B11291" t="s">
        <v>258</v>
      </c>
      <c r="C11291" s="5" t="str">
        <f t="shared" si="473"/>
        <v xml:space="preserve"> кв. 251</v>
      </c>
      <c r="D11291" s="5" t="str">
        <f>CONCATENATE(A11291,C11291)</f>
        <v>Смольная ул., дом 61 к.1 кв. 251</v>
      </c>
      <c r="E11291" s="3">
        <f>HYPERLINK("https://sao.dolgi.msk.ru/account/1404292913/", 1404292913)</f>
        <v>1404292913</v>
      </c>
      <c r="F11291">
        <v>1236.73</v>
      </c>
    </row>
    <row r="11292" spans="1:6" hidden="1" x14ac:dyDescent="0.25">
      <c r="A11292" t="s">
        <v>704</v>
      </c>
      <c r="B11292" t="s">
        <v>259</v>
      </c>
      <c r="E11292" s="3">
        <f>HYPERLINK("https://sao.dolgi.msk.ru/account/1404289116/", 1404289116)</f>
        <v>1404289116</v>
      </c>
      <c r="F11292">
        <v>-2473.5</v>
      </c>
    </row>
    <row r="11293" spans="1:6" hidden="1" x14ac:dyDescent="0.25">
      <c r="A11293" t="s">
        <v>704</v>
      </c>
      <c r="B11293" t="s">
        <v>260</v>
      </c>
      <c r="E11293" s="3">
        <f>HYPERLINK("https://sao.dolgi.msk.ru/account/1404287209/", 1404287209)</f>
        <v>1404287209</v>
      </c>
      <c r="F11293">
        <v>-1885.8</v>
      </c>
    </row>
    <row r="11294" spans="1:6" hidden="1" x14ac:dyDescent="0.25">
      <c r="A11294" t="s">
        <v>704</v>
      </c>
      <c r="B11294" t="s">
        <v>261</v>
      </c>
      <c r="E11294" s="3">
        <f>HYPERLINK("https://sao.dolgi.msk.ru/account/1404290563/", 1404290563)</f>
        <v>1404290563</v>
      </c>
      <c r="F11294">
        <v>0</v>
      </c>
    </row>
    <row r="11295" spans="1:6" hidden="1" x14ac:dyDescent="0.25">
      <c r="A11295" t="s">
        <v>704</v>
      </c>
      <c r="B11295" t="s">
        <v>262</v>
      </c>
      <c r="E11295" s="3">
        <f>HYPERLINK("https://sao.dolgi.msk.ru/account/1404290723/", 1404290723)</f>
        <v>1404290723</v>
      </c>
      <c r="F11295">
        <v>0</v>
      </c>
    </row>
    <row r="11296" spans="1:6" hidden="1" x14ac:dyDescent="0.25">
      <c r="A11296" t="s">
        <v>704</v>
      </c>
      <c r="B11296" t="s">
        <v>263</v>
      </c>
      <c r="E11296" s="3">
        <f>HYPERLINK("https://sao.dolgi.msk.ru/account/1404288084/", 1404288084)</f>
        <v>1404288084</v>
      </c>
      <c r="F11296">
        <v>-2671.55</v>
      </c>
    </row>
    <row r="11297" spans="1:6" hidden="1" x14ac:dyDescent="0.25">
      <c r="A11297" t="s">
        <v>704</v>
      </c>
      <c r="B11297" t="s">
        <v>264</v>
      </c>
      <c r="E11297" s="3">
        <f>HYPERLINK("https://sao.dolgi.msk.ru/account/1404291654/", 1404291654)</f>
        <v>1404291654</v>
      </c>
      <c r="F11297">
        <v>-1742.53</v>
      </c>
    </row>
    <row r="11298" spans="1:6" hidden="1" x14ac:dyDescent="0.25">
      <c r="A11298" t="s">
        <v>704</v>
      </c>
      <c r="B11298" t="s">
        <v>265</v>
      </c>
      <c r="E11298" s="3">
        <f>HYPERLINK("https://sao.dolgi.msk.ru/account/1404288439/", 1404288439)</f>
        <v>1404288439</v>
      </c>
      <c r="F11298">
        <v>-3438.81</v>
      </c>
    </row>
    <row r="11299" spans="1:6" hidden="1" x14ac:dyDescent="0.25">
      <c r="A11299" t="s">
        <v>704</v>
      </c>
      <c r="B11299" t="s">
        <v>266</v>
      </c>
      <c r="E11299" s="3">
        <f>HYPERLINK("https://sao.dolgi.msk.ru/account/1404287866/", 1404287866)</f>
        <v>1404287866</v>
      </c>
      <c r="F11299">
        <v>-794.59</v>
      </c>
    </row>
    <row r="11300" spans="1:6" hidden="1" x14ac:dyDescent="0.25">
      <c r="A11300" t="s">
        <v>704</v>
      </c>
      <c r="B11300" t="s">
        <v>267</v>
      </c>
      <c r="E11300" s="3">
        <f>HYPERLINK("https://sao.dolgi.msk.ru/account/1404288252/", 1404288252)</f>
        <v>1404288252</v>
      </c>
      <c r="F11300">
        <v>0</v>
      </c>
    </row>
    <row r="11301" spans="1:6" hidden="1" x14ac:dyDescent="0.25">
      <c r="A11301" t="s">
        <v>704</v>
      </c>
      <c r="B11301" t="s">
        <v>268</v>
      </c>
      <c r="E11301" s="3">
        <f>HYPERLINK("https://sao.dolgi.msk.ru/account/1404293596/", 1404293596)</f>
        <v>1404293596</v>
      </c>
      <c r="F11301">
        <v>-2505.17</v>
      </c>
    </row>
    <row r="11302" spans="1:6" hidden="1" x14ac:dyDescent="0.25">
      <c r="A11302" t="s">
        <v>704</v>
      </c>
      <c r="B11302" t="s">
        <v>269</v>
      </c>
      <c r="E11302" s="3">
        <f>HYPERLINK("https://sao.dolgi.msk.ru/account/1404292155/", 1404292155)</f>
        <v>1404292155</v>
      </c>
      <c r="F11302">
        <v>-2680.8</v>
      </c>
    </row>
    <row r="11303" spans="1:6" hidden="1" x14ac:dyDescent="0.25">
      <c r="A11303" t="s">
        <v>704</v>
      </c>
      <c r="B11303" t="s">
        <v>270</v>
      </c>
      <c r="E11303" s="3">
        <f>HYPERLINK("https://sao.dolgi.msk.ru/account/1404287196/", 1404287196)</f>
        <v>1404287196</v>
      </c>
      <c r="F11303">
        <v>0</v>
      </c>
    </row>
    <row r="11304" spans="1:6" hidden="1" x14ac:dyDescent="0.25">
      <c r="A11304" t="s">
        <v>704</v>
      </c>
      <c r="B11304" t="s">
        <v>271</v>
      </c>
      <c r="E11304" s="3">
        <f>HYPERLINK("https://sao.dolgi.msk.ru/account/1404291363/", 1404291363)</f>
        <v>1404291363</v>
      </c>
      <c r="F11304">
        <v>-2671.55</v>
      </c>
    </row>
    <row r="11305" spans="1:6" hidden="1" x14ac:dyDescent="0.25">
      <c r="A11305" t="s">
        <v>704</v>
      </c>
      <c r="B11305" t="s">
        <v>272</v>
      </c>
      <c r="E11305" s="3">
        <f>HYPERLINK("https://sao.dolgi.msk.ru/account/1404288615/", 1404288615)</f>
        <v>1404288615</v>
      </c>
      <c r="F11305">
        <v>-1595.57</v>
      </c>
    </row>
    <row r="11306" spans="1:6" hidden="1" x14ac:dyDescent="0.25">
      <c r="A11306" t="s">
        <v>704</v>
      </c>
      <c r="B11306" t="s">
        <v>273</v>
      </c>
      <c r="E11306" s="3">
        <f>HYPERLINK("https://sao.dolgi.msk.ru/account/1404287612/", 1404287612)</f>
        <v>1404287612</v>
      </c>
      <c r="F11306">
        <v>-3438.81</v>
      </c>
    </row>
    <row r="11307" spans="1:6" hidden="1" x14ac:dyDescent="0.25">
      <c r="A11307" t="s">
        <v>704</v>
      </c>
      <c r="B11307" t="s">
        <v>274</v>
      </c>
      <c r="E11307" s="3">
        <f>HYPERLINK("https://sao.dolgi.msk.ru/account/1404292139/", 1404292139)</f>
        <v>1404292139</v>
      </c>
      <c r="F11307">
        <v>0</v>
      </c>
    </row>
    <row r="11308" spans="1:6" x14ac:dyDescent="0.25">
      <c r="A11308" t="s">
        <v>704</v>
      </c>
      <c r="B11308" t="s">
        <v>275</v>
      </c>
      <c r="C11308" s="5" t="str">
        <f>" кв. "&amp;B11308</f>
        <v xml:space="preserve"> кв. 268</v>
      </c>
      <c r="D11308" s="5" t="str">
        <f>CONCATENATE(A11308,C11308)</f>
        <v>Смольная ул., дом 61 к.1 кв. 268</v>
      </c>
      <c r="E11308" s="3">
        <f>HYPERLINK("https://sao.dolgi.msk.ru/account/1404286206/", 1404286206)</f>
        <v>1404286206</v>
      </c>
      <c r="F11308">
        <v>1523.51</v>
      </c>
    </row>
    <row r="11309" spans="1:6" hidden="1" x14ac:dyDescent="0.25">
      <c r="A11309" t="s">
        <v>704</v>
      </c>
      <c r="B11309" t="s">
        <v>276</v>
      </c>
      <c r="E11309" s="3">
        <f>HYPERLINK("https://sao.dolgi.msk.ru/account/1404287882/", 1404287882)</f>
        <v>1404287882</v>
      </c>
      <c r="F11309">
        <v>-2514.41</v>
      </c>
    </row>
    <row r="11310" spans="1:6" x14ac:dyDescent="0.25">
      <c r="A11310" t="s">
        <v>704</v>
      </c>
      <c r="B11310" t="s">
        <v>277</v>
      </c>
      <c r="C11310" s="5" t="str">
        <f t="shared" ref="C11310:C11311" si="474">" кв. "&amp;B11310</f>
        <v xml:space="preserve"> кв. 270</v>
      </c>
      <c r="D11310" s="5" t="str">
        <f>CONCATENATE(A11310,C11310)</f>
        <v>Смольная ул., дом 61 к.1 кв. 270</v>
      </c>
      <c r="E11310" s="3">
        <f>HYPERLINK("https://sao.dolgi.msk.ru/account/1404287284/", 1404287284)</f>
        <v>1404287284</v>
      </c>
      <c r="F11310">
        <v>2350.11</v>
      </c>
    </row>
    <row r="11311" spans="1:6" x14ac:dyDescent="0.25">
      <c r="A11311" t="s">
        <v>704</v>
      </c>
      <c r="B11311" t="s">
        <v>278</v>
      </c>
      <c r="C11311" s="5" t="str">
        <f t="shared" si="474"/>
        <v xml:space="preserve"> кв. 271</v>
      </c>
      <c r="D11311" s="5" t="str">
        <f>CONCATENATE(A11311,C11311)</f>
        <v>Смольная ул., дом 61 к.1 кв. 271</v>
      </c>
      <c r="E11311" s="3">
        <f>HYPERLINK("https://sao.dolgi.msk.ru/account/1404291283/", 1404291283)</f>
        <v>1404291283</v>
      </c>
      <c r="F11311">
        <v>1227.24</v>
      </c>
    </row>
    <row r="11312" spans="1:6" hidden="1" x14ac:dyDescent="0.25">
      <c r="A11312" t="s">
        <v>704</v>
      </c>
      <c r="B11312" t="s">
        <v>279</v>
      </c>
      <c r="E11312" s="3">
        <f>HYPERLINK("https://sao.dolgi.msk.ru/account/1404286927/", 1404286927)</f>
        <v>1404286927</v>
      </c>
      <c r="F11312">
        <v>-65.760000000000005</v>
      </c>
    </row>
    <row r="11313" spans="1:6" hidden="1" x14ac:dyDescent="0.25">
      <c r="A11313" t="s">
        <v>704</v>
      </c>
      <c r="B11313" t="s">
        <v>280</v>
      </c>
      <c r="E11313" s="3">
        <f>HYPERLINK("https://sao.dolgi.msk.ru/account/1404293203/", 1404293203)</f>
        <v>1404293203</v>
      </c>
      <c r="F11313">
        <v>-2509.79</v>
      </c>
    </row>
    <row r="11314" spans="1:6" hidden="1" x14ac:dyDescent="0.25">
      <c r="A11314" t="s">
        <v>704</v>
      </c>
      <c r="B11314" t="s">
        <v>281</v>
      </c>
      <c r="E11314" s="3">
        <f>HYPERLINK("https://sao.dolgi.msk.ru/account/1404288367/", 1404288367)</f>
        <v>1404288367</v>
      </c>
      <c r="F11314">
        <v>-3452.68</v>
      </c>
    </row>
    <row r="11315" spans="1:6" hidden="1" x14ac:dyDescent="0.25">
      <c r="A11315" t="s">
        <v>704</v>
      </c>
      <c r="B11315" t="s">
        <v>282</v>
      </c>
      <c r="E11315" s="3">
        <f>HYPERLINK("https://sao.dolgi.msk.ru/account/1404288092/", 1404288092)</f>
        <v>1404288092</v>
      </c>
      <c r="F11315">
        <v>-567.58000000000004</v>
      </c>
    </row>
    <row r="11316" spans="1:6" hidden="1" x14ac:dyDescent="0.25">
      <c r="A11316" t="s">
        <v>704</v>
      </c>
      <c r="B11316" t="s">
        <v>283</v>
      </c>
      <c r="E11316" s="3">
        <f>HYPERLINK("https://sao.dolgi.msk.ru/account/1404288236/", 1404288236)</f>
        <v>1404288236</v>
      </c>
      <c r="F11316">
        <v>-2666.93</v>
      </c>
    </row>
    <row r="11317" spans="1:6" hidden="1" x14ac:dyDescent="0.25">
      <c r="A11317" t="s">
        <v>704</v>
      </c>
      <c r="B11317" t="s">
        <v>284</v>
      </c>
      <c r="E11317" s="3">
        <f>HYPERLINK("https://sao.dolgi.msk.ru/account/1404292622/", 1404292622)</f>
        <v>1404292622</v>
      </c>
      <c r="F11317">
        <v>-2509.79</v>
      </c>
    </row>
    <row r="11318" spans="1:6" x14ac:dyDescent="0.25">
      <c r="A11318" t="s">
        <v>704</v>
      </c>
      <c r="B11318" t="s">
        <v>285</v>
      </c>
      <c r="C11318" s="5" t="str">
        <f>" кв. "&amp;B11318</f>
        <v xml:space="preserve"> кв. 278</v>
      </c>
      <c r="D11318" s="5" t="str">
        <f>CONCATENATE(A11318,C11318)</f>
        <v>Смольная ул., дом 61 к.1 кв. 278</v>
      </c>
      <c r="E11318" s="3">
        <f>HYPERLINK("https://sao.dolgi.msk.ru/account/1404291347/", 1404291347)</f>
        <v>1404291347</v>
      </c>
      <c r="F11318">
        <v>2353.27</v>
      </c>
    </row>
    <row r="11319" spans="1:6" hidden="1" x14ac:dyDescent="0.25">
      <c r="A11319" t="s">
        <v>704</v>
      </c>
      <c r="B11319" t="s">
        <v>286</v>
      </c>
      <c r="E11319" s="3">
        <f>HYPERLINK("https://sao.dolgi.msk.ru/account/1404292358/", 1404292358)</f>
        <v>1404292358</v>
      </c>
      <c r="F11319">
        <v>-1802.61</v>
      </c>
    </row>
    <row r="11320" spans="1:6" x14ac:dyDescent="0.25">
      <c r="A11320" t="s">
        <v>704</v>
      </c>
      <c r="B11320" t="s">
        <v>287</v>
      </c>
      <c r="C11320" s="5" t="str">
        <f>" кв. "&amp;B11320</f>
        <v xml:space="preserve"> кв. 280</v>
      </c>
      <c r="D11320" s="5" t="str">
        <f>CONCATENATE(A11320,C11320)</f>
        <v>Смольная ул., дом 61 к.1 кв. 280</v>
      </c>
      <c r="E11320" s="3">
        <f>HYPERLINK("https://sao.dolgi.msk.ru/account/1404289167/", 1404289167)</f>
        <v>1404289167</v>
      </c>
      <c r="F11320">
        <v>1834.54</v>
      </c>
    </row>
    <row r="11321" spans="1:6" hidden="1" x14ac:dyDescent="0.25">
      <c r="A11321" t="s">
        <v>704</v>
      </c>
      <c r="B11321" t="s">
        <v>288</v>
      </c>
      <c r="E11321" s="3">
        <f>HYPERLINK("https://sao.dolgi.msk.ru/account/1404287401/", 1404287401)</f>
        <v>1404287401</v>
      </c>
      <c r="F11321">
        <v>0</v>
      </c>
    </row>
    <row r="11322" spans="1:6" hidden="1" x14ac:dyDescent="0.25">
      <c r="A11322" t="s">
        <v>704</v>
      </c>
      <c r="B11322" t="s">
        <v>289</v>
      </c>
      <c r="E11322" s="3">
        <f>HYPERLINK("https://sao.dolgi.msk.ru/account/1404286396/", 1404286396)</f>
        <v>1404286396</v>
      </c>
      <c r="F11322">
        <v>0</v>
      </c>
    </row>
    <row r="11323" spans="1:6" hidden="1" x14ac:dyDescent="0.25">
      <c r="A11323" t="s">
        <v>704</v>
      </c>
      <c r="B11323" t="s">
        <v>290</v>
      </c>
      <c r="E11323" s="3">
        <f>HYPERLINK("https://sao.dolgi.msk.ru/account/1404286572/", 1404286572)</f>
        <v>1404286572</v>
      </c>
      <c r="F11323">
        <v>-1802.61</v>
      </c>
    </row>
    <row r="11324" spans="1:6" hidden="1" x14ac:dyDescent="0.25">
      <c r="A11324" t="s">
        <v>704</v>
      </c>
      <c r="B11324" t="s">
        <v>291</v>
      </c>
      <c r="E11324" s="3">
        <f>HYPERLINK("https://sao.dolgi.msk.ru/account/1404286783/", 1404286783)</f>
        <v>1404286783</v>
      </c>
      <c r="F11324">
        <v>-2680.8</v>
      </c>
    </row>
    <row r="11325" spans="1:6" hidden="1" x14ac:dyDescent="0.25">
      <c r="A11325" t="s">
        <v>704</v>
      </c>
      <c r="B11325" t="s">
        <v>292</v>
      </c>
      <c r="E11325" s="3">
        <f>HYPERLINK("https://sao.dolgi.msk.ru/account/1404288674/", 1404288674)</f>
        <v>1404288674</v>
      </c>
      <c r="F11325">
        <v>0</v>
      </c>
    </row>
    <row r="11326" spans="1:6" hidden="1" x14ac:dyDescent="0.25">
      <c r="A11326" t="s">
        <v>704</v>
      </c>
      <c r="B11326" t="s">
        <v>293</v>
      </c>
      <c r="E11326" s="3">
        <f>HYPERLINK("https://sao.dolgi.msk.ru/account/1404292593/", 1404292593)</f>
        <v>1404292593</v>
      </c>
      <c r="F11326">
        <v>-2247.37</v>
      </c>
    </row>
    <row r="11327" spans="1:6" x14ac:dyDescent="0.25">
      <c r="A11327" t="s">
        <v>704</v>
      </c>
      <c r="B11327" t="s">
        <v>294</v>
      </c>
      <c r="C11327" s="5" t="str">
        <f t="shared" ref="C11327:C11328" si="475">" кв. "&amp;B11327</f>
        <v xml:space="preserve"> кв. 287</v>
      </c>
      <c r="D11327" s="5" t="str">
        <f>CONCATENATE(A11327,C11327)</f>
        <v>Смольная ул., дом 61 к.1 кв. 287</v>
      </c>
      <c r="E11327" s="3">
        <f>HYPERLINK("https://sao.dolgi.msk.ru/account/1404293617/", 1404293617)</f>
        <v>1404293617</v>
      </c>
      <c r="F11327">
        <v>1230.4100000000001</v>
      </c>
    </row>
    <row r="11328" spans="1:6" x14ac:dyDescent="0.25">
      <c r="A11328" t="s">
        <v>704</v>
      </c>
      <c r="B11328" t="s">
        <v>295</v>
      </c>
      <c r="C11328" s="5" t="str">
        <f t="shared" si="475"/>
        <v xml:space="preserve"> кв. 288</v>
      </c>
      <c r="D11328" s="5" t="str">
        <f>CONCATENATE(A11328,C11328)</f>
        <v>Смольная ул., дом 61 к.1 кв. 288</v>
      </c>
      <c r="E11328" s="3">
        <f>HYPERLINK("https://sao.dolgi.msk.ru/account/1404287524/", 1404287524)</f>
        <v>1404287524</v>
      </c>
      <c r="F11328">
        <v>1840.86</v>
      </c>
    </row>
    <row r="11329" spans="1:6" hidden="1" x14ac:dyDescent="0.25">
      <c r="A11329" t="s">
        <v>704</v>
      </c>
      <c r="B11329" t="s">
        <v>295</v>
      </c>
      <c r="E11329" s="3">
        <f>HYPERLINK("https://sao.dolgi.msk.ru/account/1404289458/", 1404289458)</f>
        <v>1404289458</v>
      </c>
      <c r="F11329">
        <v>-672.52</v>
      </c>
    </row>
    <row r="11330" spans="1:6" x14ac:dyDescent="0.25">
      <c r="A11330" t="s">
        <v>704</v>
      </c>
      <c r="B11330" t="s">
        <v>296</v>
      </c>
      <c r="C11330" s="5" t="str">
        <f>" кв. "&amp;B11330</f>
        <v xml:space="preserve"> кв. 289</v>
      </c>
      <c r="D11330" s="5" t="str">
        <f>CONCATENATE(A11330,C11330)</f>
        <v>Смольная ул., дом 61 к.1 кв. 289</v>
      </c>
      <c r="E11330" s="3">
        <f>HYPERLINK("https://sao.dolgi.msk.ru/account/1404286951/", 1404286951)</f>
        <v>1404286951</v>
      </c>
      <c r="F11330">
        <v>861.92</v>
      </c>
    </row>
    <row r="11331" spans="1:6" hidden="1" x14ac:dyDescent="0.25">
      <c r="A11331" t="s">
        <v>704</v>
      </c>
      <c r="B11331" t="s">
        <v>297</v>
      </c>
      <c r="E11331" s="3">
        <f>HYPERLINK("https://sao.dolgi.msk.ru/account/1404287356/", 1404287356)</f>
        <v>1404287356</v>
      </c>
      <c r="F11331">
        <v>-2543.09</v>
      </c>
    </row>
    <row r="11332" spans="1:6" x14ac:dyDescent="0.25">
      <c r="A11332" t="s">
        <v>704</v>
      </c>
      <c r="B11332" t="s">
        <v>298</v>
      </c>
      <c r="C11332" s="5" t="str">
        <f>" кв. "&amp;B11332</f>
        <v xml:space="preserve"> кв. 291</v>
      </c>
      <c r="D11332" s="5" t="str">
        <f>CONCATENATE(A11332,C11332)</f>
        <v>Смольная ул., дом 61 к.1 кв. 291</v>
      </c>
      <c r="E11332" s="3">
        <f>HYPERLINK("https://sao.dolgi.msk.ru/account/1404293211/", 1404293211)</f>
        <v>1404293211</v>
      </c>
      <c r="F11332">
        <v>1236.73</v>
      </c>
    </row>
    <row r="11333" spans="1:6" hidden="1" x14ac:dyDescent="0.25">
      <c r="A11333" t="s">
        <v>704</v>
      </c>
      <c r="B11333" t="s">
        <v>299</v>
      </c>
      <c r="E11333" s="3">
        <f>HYPERLINK("https://sao.dolgi.msk.ru/account/1404291224/", 1404291224)</f>
        <v>1404291224</v>
      </c>
      <c r="F11333">
        <v>-2671.55</v>
      </c>
    </row>
    <row r="11334" spans="1:6" hidden="1" x14ac:dyDescent="0.25">
      <c r="A11334" t="s">
        <v>704</v>
      </c>
      <c r="B11334" t="s">
        <v>300</v>
      </c>
      <c r="E11334" s="3">
        <f>HYPERLINK("https://sao.dolgi.msk.ru/account/1404287161/", 1404287161)</f>
        <v>1404287161</v>
      </c>
      <c r="F11334">
        <v>-2523.66</v>
      </c>
    </row>
    <row r="11335" spans="1:6" hidden="1" x14ac:dyDescent="0.25">
      <c r="A11335" t="s">
        <v>704</v>
      </c>
      <c r="B11335" t="s">
        <v>301</v>
      </c>
      <c r="E11335" s="3">
        <f>HYPERLINK("https://sao.dolgi.msk.ru/account/1404291646/", 1404291646)</f>
        <v>1404291646</v>
      </c>
      <c r="F11335">
        <v>0</v>
      </c>
    </row>
    <row r="11336" spans="1:6" hidden="1" x14ac:dyDescent="0.25">
      <c r="A11336" t="s">
        <v>704</v>
      </c>
      <c r="B11336" t="s">
        <v>302</v>
      </c>
      <c r="E11336" s="3">
        <f>HYPERLINK("https://sao.dolgi.msk.ru/account/1404293131/", 1404293131)</f>
        <v>1404293131</v>
      </c>
      <c r="F11336">
        <v>-1802.61</v>
      </c>
    </row>
    <row r="11337" spans="1:6" hidden="1" x14ac:dyDescent="0.25">
      <c r="A11337" t="s">
        <v>704</v>
      </c>
      <c r="B11337" t="s">
        <v>303</v>
      </c>
      <c r="E11337" s="3">
        <f>HYPERLINK("https://sao.dolgi.msk.ru/account/1404292905/", 1404292905)</f>
        <v>1404292905</v>
      </c>
      <c r="F11337">
        <v>-2199.3000000000002</v>
      </c>
    </row>
    <row r="11338" spans="1:6" hidden="1" x14ac:dyDescent="0.25">
      <c r="A11338" t="s">
        <v>704</v>
      </c>
      <c r="B11338" t="s">
        <v>304</v>
      </c>
      <c r="E11338" s="3">
        <f>HYPERLINK("https://sao.dolgi.msk.ru/account/1404290774/", 1404290774)</f>
        <v>1404290774</v>
      </c>
      <c r="F11338">
        <v>-1449.42</v>
      </c>
    </row>
    <row r="11339" spans="1:6" hidden="1" x14ac:dyDescent="0.25">
      <c r="A11339" t="s">
        <v>704</v>
      </c>
      <c r="B11339" t="s">
        <v>305</v>
      </c>
      <c r="E11339" s="3">
        <f>HYPERLINK("https://sao.dolgi.msk.ru/account/1404290512/", 1404290512)</f>
        <v>1404290512</v>
      </c>
      <c r="F11339">
        <v>-3448.06</v>
      </c>
    </row>
    <row r="11340" spans="1:6" x14ac:dyDescent="0.25">
      <c r="A11340" t="s">
        <v>704</v>
      </c>
      <c r="B11340" t="s">
        <v>306</v>
      </c>
      <c r="C11340" s="5" t="str">
        <f>" кв. "&amp;B11340</f>
        <v xml:space="preserve"> кв. 299</v>
      </c>
      <c r="D11340" s="5" t="str">
        <f>CONCATENATE(A11340,C11340)</f>
        <v>Смольная ул., дом 61 к.1 кв. 299</v>
      </c>
      <c r="E11340" s="3">
        <f>HYPERLINK("https://sao.dolgi.msk.ru/account/1404291339/", 1404291339)</f>
        <v>1404291339</v>
      </c>
      <c r="F11340">
        <v>1243.06</v>
      </c>
    </row>
    <row r="11341" spans="1:6" hidden="1" x14ac:dyDescent="0.25">
      <c r="A11341" t="s">
        <v>704</v>
      </c>
      <c r="B11341" t="s">
        <v>307</v>
      </c>
      <c r="E11341" s="3">
        <f>HYPERLINK("https://sao.dolgi.msk.ru/account/1404288834/", 1404288834)</f>
        <v>1404288834</v>
      </c>
      <c r="F11341">
        <v>-1340.41</v>
      </c>
    </row>
    <row r="11342" spans="1:6" hidden="1" x14ac:dyDescent="0.25">
      <c r="A11342" t="s">
        <v>704</v>
      </c>
      <c r="B11342" t="s">
        <v>308</v>
      </c>
      <c r="E11342" s="3">
        <f>HYPERLINK("https://sao.dolgi.msk.ru/account/1404287428/", 1404287428)</f>
        <v>1404287428</v>
      </c>
      <c r="F11342">
        <v>0</v>
      </c>
    </row>
    <row r="11343" spans="1:6" hidden="1" x14ac:dyDescent="0.25">
      <c r="A11343" t="s">
        <v>704</v>
      </c>
      <c r="B11343" t="s">
        <v>308</v>
      </c>
      <c r="E11343" s="3">
        <f>HYPERLINK("https://sao.dolgi.msk.ru/account/1404290926/", 1404290926)</f>
        <v>1404290926</v>
      </c>
      <c r="F11343">
        <v>-418.31</v>
      </c>
    </row>
    <row r="11344" spans="1:6" hidden="1" x14ac:dyDescent="0.25">
      <c r="A11344" t="s">
        <v>704</v>
      </c>
      <c r="B11344" t="s">
        <v>309</v>
      </c>
      <c r="E11344" s="3">
        <f>HYPERLINK("https://sao.dolgi.msk.ru/account/1404291152/", 1404291152)</f>
        <v>1404291152</v>
      </c>
      <c r="F11344">
        <v>-3466.55</v>
      </c>
    </row>
    <row r="11345" spans="1:6" hidden="1" x14ac:dyDescent="0.25">
      <c r="A11345" t="s">
        <v>704</v>
      </c>
      <c r="B11345" t="s">
        <v>310</v>
      </c>
      <c r="E11345" s="3">
        <f>HYPERLINK("https://sao.dolgi.msk.ru/account/1404289968/", 1404289968)</f>
        <v>1404289968</v>
      </c>
      <c r="F11345">
        <v>0</v>
      </c>
    </row>
    <row r="11346" spans="1:6" hidden="1" x14ac:dyDescent="0.25">
      <c r="A11346" t="s">
        <v>704</v>
      </c>
      <c r="B11346" t="s">
        <v>311</v>
      </c>
      <c r="E11346" s="3">
        <f>HYPERLINK("https://sao.dolgi.msk.ru/account/1404288324/", 1404288324)</f>
        <v>1404288324</v>
      </c>
      <c r="F11346">
        <v>-2680.8</v>
      </c>
    </row>
    <row r="11347" spans="1:6" hidden="1" x14ac:dyDescent="0.25">
      <c r="A11347" t="s">
        <v>704</v>
      </c>
      <c r="B11347" t="s">
        <v>312</v>
      </c>
      <c r="E11347" s="3">
        <f>HYPERLINK("https://sao.dolgi.msk.ru/account/1404289677/", 1404289677)</f>
        <v>1404289677</v>
      </c>
      <c r="F11347">
        <v>-2523.66</v>
      </c>
    </row>
    <row r="11348" spans="1:6" hidden="1" x14ac:dyDescent="0.25">
      <c r="A11348" t="s">
        <v>704</v>
      </c>
      <c r="B11348" t="s">
        <v>313</v>
      </c>
      <c r="E11348" s="3">
        <f>HYPERLINK("https://sao.dolgi.msk.ru/account/1404286345/", 1404286345)</f>
        <v>1404286345</v>
      </c>
      <c r="F11348">
        <v>-2666.93</v>
      </c>
    </row>
    <row r="11349" spans="1:6" hidden="1" x14ac:dyDescent="0.25">
      <c r="A11349" t="s">
        <v>704</v>
      </c>
      <c r="B11349" t="s">
        <v>314</v>
      </c>
      <c r="E11349" s="3">
        <f>HYPERLINK("https://sao.dolgi.msk.ru/account/1404289482/", 1404289482)</f>
        <v>1404289482</v>
      </c>
      <c r="F11349">
        <v>-1802.61</v>
      </c>
    </row>
    <row r="11350" spans="1:6" x14ac:dyDescent="0.25">
      <c r="A11350" t="s">
        <v>704</v>
      </c>
      <c r="B11350" t="s">
        <v>315</v>
      </c>
      <c r="C11350" s="5" t="str">
        <f>" кв. "&amp;B11350</f>
        <v xml:space="preserve"> кв. 308</v>
      </c>
      <c r="D11350" s="5" t="str">
        <f>CONCATENATE(A11350,C11350)</f>
        <v>Смольная ул., дом 61 к.1 кв. 308</v>
      </c>
      <c r="E11350" s="3">
        <f>HYPERLINK("https://sao.dolgi.msk.ru/account/1404286468/", 1404286468)</f>
        <v>1404286468</v>
      </c>
      <c r="F11350">
        <v>1847.19</v>
      </c>
    </row>
    <row r="11351" spans="1:6" hidden="1" x14ac:dyDescent="0.25">
      <c r="A11351" t="s">
        <v>704</v>
      </c>
      <c r="B11351" t="s">
        <v>316</v>
      </c>
      <c r="E11351" s="3">
        <f>HYPERLINK("https://sao.dolgi.msk.ru/account/1404293406/", 1404293406)</f>
        <v>1404293406</v>
      </c>
      <c r="F11351">
        <v>-1765.64</v>
      </c>
    </row>
    <row r="11352" spans="1:6" hidden="1" x14ac:dyDescent="0.25">
      <c r="A11352" t="s">
        <v>704</v>
      </c>
      <c r="B11352" t="s">
        <v>317</v>
      </c>
      <c r="E11352" s="3">
        <f>HYPERLINK("https://sao.dolgi.msk.ru/account/1404289298/", 1404289298)</f>
        <v>1404289298</v>
      </c>
      <c r="F11352">
        <v>-3452.68</v>
      </c>
    </row>
    <row r="11353" spans="1:6" x14ac:dyDescent="0.25">
      <c r="A11353" t="s">
        <v>704</v>
      </c>
      <c r="B11353" t="s">
        <v>318</v>
      </c>
      <c r="C11353" s="5" t="str">
        <f>" кв. "&amp;B11353</f>
        <v xml:space="preserve"> кв. 311</v>
      </c>
      <c r="D11353" s="5" t="str">
        <f>CONCATENATE(A11353,C11353)</f>
        <v>Смольная ул., дом 61 к.1 кв. 311</v>
      </c>
      <c r="E11353" s="3">
        <f>HYPERLINK("https://sao.dolgi.msk.ru/account/1404291881/", 1404291881)</f>
        <v>1404291881</v>
      </c>
      <c r="F11353">
        <v>1233.57</v>
      </c>
    </row>
    <row r="11354" spans="1:6" hidden="1" x14ac:dyDescent="0.25">
      <c r="A11354" t="s">
        <v>704</v>
      </c>
      <c r="B11354" t="s">
        <v>319</v>
      </c>
      <c r="E11354" s="3">
        <f>HYPERLINK("https://sao.dolgi.msk.ru/account/1404290248/", 1404290248)</f>
        <v>1404290248</v>
      </c>
      <c r="F11354">
        <v>0</v>
      </c>
    </row>
    <row r="11355" spans="1:6" hidden="1" x14ac:dyDescent="0.25">
      <c r="A11355" t="s">
        <v>704</v>
      </c>
      <c r="B11355" t="s">
        <v>422</v>
      </c>
      <c r="E11355" s="3">
        <f>HYPERLINK("https://sao.dolgi.msk.ru/account/1404293043/", 1404293043)</f>
        <v>1404293043</v>
      </c>
      <c r="F11355">
        <v>0</v>
      </c>
    </row>
    <row r="11356" spans="1:6" hidden="1" x14ac:dyDescent="0.25">
      <c r="A11356" t="s">
        <v>704</v>
      </c>
      <c r="B11356" t="s">
        <v>423</v>
      </c>
      <c r="E11356" s="3">
        <f>HYPERLINK("https://sao.dolgi.msk.ru/account/1404292606/", 1404292606)</f>
        <v>1404292606</v>
      </c>
      <c r="F11356">
        <v>-3457.3</v>
      </c>
    </row>
    <row r="11357" spans="1:6" hidden="1" x14ac:dyDescent="0.25">
      <c r="A11357" t="s">
        <v>704</v>
      </c>
      <c r="B11357" t="s">
        <v>424</v>
      </c>
      <c r="E11357" s="3">
        <f>HYPERLINK("https://sao.dolgi.msk.ru/account/1404290889/", 1404290889)</f>
        <v>1404290889</v>
      </c>
      <c r="F11357">
        <v>-1825.73</v>
      </c>
    </row>
    <row r="11358" spans="1:6" hidden="1" x14ac:dyDescent="0.25">
      <c r="A11358" t="s">
        <v>704</v>
      </c>
      <c r="B11358" t="s">
        <v>425</v>
      </c>
      <c r="E11358" s="3">
        <f>HYPERLINK("https://sao.dolgi.msk.ru/account/1404288025/", 1404288025)</f>
        <v>1404288025</v>
      </c>
      <c r="F11358">
        <v>-2699.29</v>
      </c>
    </row>
    <row r="11359" spans="1:6" x14ac:dyDescent="0.25">
      <c r="A11359" t="s">
        <v>704</v>
      </c>
      <c r="B11359" t="s">
        <v>426</v>
      </c>
      <c r="C11359" s="5" t="str">
        <f>" кв. "&amp;B11359</f>
        <v xml:space="preserve"> кв. 317</v>
      </c>
      <c r="D11359" s="5" t="str">
        <f>CONCATENATE(A11359,C11359)</f>
        <v>Смольная ул., дом 61 к.1 кв. 317</v>
      </c>
      <c r="E11359" s="3">
        <f>HYPERLINK("https://sao.dolgi.msk.ru/account/1404290897/", 1404290897)</f>
        <v>1404290897</v>
      </c>
      <c r="F11359">
        <v>861.92</v>
      </c>
    </row>
    <row r="11360" spans="1:6" hidden="1" x14ac:dyDescent="0.25">
      <c r="A11360" t="s">
        <v>704</v>
      </c>
      <c r="B11360" t="s">
        <v>427</v>
      </c>
      <c r="E11360" s="3">
        <f>HYPERLINK("https://sao.dolgi.msk.ru/account/1404290918/", 1404290918)</f>
        <v>1404290918</v>
      </c>
      <c r="F11360">
        <v>-3452.68</v>
      </c>
    </row>
    <row r="11361" spans="1:6" x14ac:dyDescent="0.25">
      <c r="A11361" t="s">
        <v>704</v>
      </c>
      <c r="B11361" t="s">
        <v>428</v>
      </c>
      <c r="C11361" s="5" t="str">
        <f>" кв. "&amp;B11361</f>
        <v xml:space="preserve"> кв. 319</v>
      </c>
      <c r="D11361" s="5" t="str">
        <f>CONCATENATE(A11361,C11361)</f>
        <v>Смольная ул., дом 61 к.1 кв. 319</v>
      </c>
      <c r="E11361" s="3">
        <f>HYPERLINK("https://sao.dolgi.msk.ru/account/1404293561/", 1404293561)</f>
        <v>1404293561</v>
      </c>
      <c r="F11361">
        <v>1230.4100000000001</v>
      </c>
    </row>
    <row r="11362" spans="1:6" hidden="1" x14ac:dyDescent="0.25">
      <c r="A11362" t="s">
        <v>704</v>
      </c>
      <c r="B11362" t="s">
        <v>321</v>
      </c>
      <c r="E11362" s="3">
        <f>HYPERLINK("https://sao.dolgi.msk.ru/account/1404292753/", 1404292753)</f>
        <v>1404292753</v>
      </c>
      <c r="F11362">
        <v>-1345.04</v>
      </c>
    </row>
    <row r="11363" spans="1:6" hidden="1" x14ac:dyDescent="0.25">
      <c r="A11363" t="s">
        <v>704</v>
      </c>
      <c r="B11363" t="s">
        <v>322</v>
      </c>
      <c r="E11363" s="3">
        <f>HYPERLINK("https://sao.dolgi.msk.ru/account/1404291267/", 1404291267)</f>
        <v>1404291267</v>
      </c>
      <c r="F11363">
        <v>0</v>
      </c>
    </row>
    <row r="11364" spans="1:6" hidden="1" x14ac:dyDescent="0.25">
      <c r="A11364" t="s">
        <v>704</v>
      </c>
      <c r="B11364" t="s">
        <v>323</v>
      </c>
      <c r="E11364" s="3">
        <f>HYPERLINK("https://sao.dolgi.msk.ru/account/1404287508/", 1404287508)</f>
        <v>1404287508</v>
      </c>
      <c r="F11364">
        <v>-2903.82</v>
      </c>
    </row>
    <row r="11365" spans="1:6" hidden="1" x14ac:dyDescent="0.25">
      <c r="A11365" t="s">
        <v>704</v>
      </c>
      <c r="B11365" t="s">
        <v>324</v>
      </c>
      <c r="E11365" s="3">
        <f>HYPERLINK("https://sao.dolgi.msk.ru/account/1404293457/", 1404293457)</f>
        <v>1404293457</v>
      </c>
      <c r="F11365">
        <v>-1807.23</v>
      </c>
    </row>
    <row r="11366" spans="1:6" hidden="1" x14ac:dyDescent="0.25">
      <c r="A11366" t="s">
        <v>704</v>
      </c>
      <c r="B11366" t="s">
        <v>325</v>
      </c>
      <c r="E11366" s="3">
        <f>HYPERLINK("https://sao.dolgi.msk.ru/account/1404287073/", 1404287073)</f>
        <v>1404287073</v>
      </c>
      <c r="F11366">
        <v>-2565.0500000000002</v>
      </c>
    </row>
    <row r="11367" spans="1:6" hidden="1" x14ac:dyDescent="0.25">
      <c r="A11367" t="s">
        <v>704</v>
      </c>
      <c r="B11367" t="s">
        <v>326</v>
      </c>
      <c r="E11367" s="3">
        <f>HYPERLINK("https://sao.dolgi.msk.ru/account/1404289191/", 1404289191)</f>
        <v>1404289191</v>
      </c>
      <c r="F11367">
        <v>-2509.79</v>
      </c>
    </row>
    <row r="11368" spans="1:6" hidden="1" x14ac:dyDescent="0.25">
      <c r="A11368" t="s">
        <v>704</v>
      </c>
      <c r="B11368" t="s">
        <v>327</v>
      </c>
      <c r="E11368" s="3">
        <f>HYPERLINK("https://sao.dolgi.msk.ru/account/1404290942/", 1404290942)</f>
        <v>1404290942</v>
      </c>
      <c r="F11368">
        <v>-3457.3</v>
      </c>
    </row>
    <row r="11369" spans="1:6" hidden="1" x14ac:dyDescent="0.25">
      <c r="A11369" t="s">
        <v>704</v>
      </c>
      <c r="B11369" t="s">
        <v>328</v>
      </c>
      <c r="E11369" s="3">
        <f>HYPERLINK("https://sao.dolgi.msk.ru/account/1404293676/", 1404293676)</f>
        <v>1404293676</v>
      </c>
      <c r="F11369">
        <v>0</v>
      </c>
    </row>
    <row r="11370" spans="1:6" x14ac:dyDescent="0.25">
      <c r="A11370" t="s">
        <v>704</v>
      </c>
      <c r="B11370" t="s">
        <v>329</v>
      </c>
      <c r="C11370" s="5" t="str">
        <f>" кв. "&amp;B11370</f>
        <v xml:space="preserve"> кв. 328</v>
      </c>
      <c r="D11370" s="5" t="str">
        <f>CONCATENATE(A11370,C11370)</f>
        <v>Смольная ул., дом 61 к.1 кв. 328</v>
      </c>
      <c r="E11370" s="3">
        <f>HYPERLINK("https://sao.dolgi.msk.ru/account/1404292489/", 1404292489)</f>
        <v>1404292489</v>
      </c>
      <c r="F11370">
        <v>1847.19</v>
      </c>
    </row>
    <row r="11371" spans="1:6" hidden="1" x14ac:dyDescent="0.25">
      <c r="A11371" t="s">
        <v>704</v>
      </c>
      <c r="B11371" t="s">
        <v>330</v>
      </c>
      <c r="E11371" s="3">
        <f>HYPERLINK("https://sao.dolgi.msk.ru/account/1404292059/", 1404292059)</f>
        <v>1404292059</v>
      </c>
      <c r="F11371">
        <v>-2509.79</v>
      </c>
    </row>
    <row r="11372" spans="1:6" hidden="1" x14ac:dyDescent="0.25">
      <c r="A11372" t="s">
        <v>704</v>
      </c>
      <c r="B11372" t="s">
        <v>331</v>
      </c>
      <c r="E11372" s="3">
        <f>HYPERLINK("https://sao.dolgi.msk.ru/account/1404287292/", 1404287292)</f>
        <v>1404287292</v>
      </c>
      <c r="F11372">
        <v>-3461.93</v>
      </c>
    </row>
    <row r="11373" spans="1:6" x14ac:dyDescent="0.25">
      <c r="A11373" t="s">
        <v>704</v>
      </c>
      <c r="B11373" t="s">
        <v>332</v>
      </c>
      <c r="C11373" s="5" t="str">
        <f>" кв. "&amp;B11373</f>
        <v xml:space="preserve"> кв. 331</v>
      </c>
      <c r="D11373" s="5" t="str">
        <f>CONCATENATE(A11373,C11373)</f>
        <v>Смольная ул., дом 61 к.1 кв. 331</v>
      </c>
      <c r="E11373" s="3">
        <f>HYPERLINK("https://sao.dolgi.msk.ru/account/1404293692/", 1404293692)</f>
        <v>1404293692</v>
      </c>
      <c r="F11373">
        <v>615.21</v>
      </c>
    </row>
    <row r="11374" spans="1:6" hidden="1" x14ac:dyDescent="0.25">
      <c r="A11374" t="s">
        <v>704</v>
      </c>
      <c r="B11374" t="s">
        <v>333</v>
      </c>
      <c r="E11374" s="3">
        <f>HYPERLINK("https://sao.dolgi.msk.ru/account/1404291953/", 1404291953)</f>
        <v>1404291953</v>
      </c>
      <c r="F11374">
        <v>-2699.29</v>
      </c>
    </row>
    <row r="11375" spans="1:6" hidden="1" x14ac:dyDescent="0.25">
      <c r="A11375" t="s">
        <v>704</v>
      </c>
      <c r="B11375" t="s">
        <v>334</v>
      </c>
      <c r="E11375" s="3">
        <f>HYPERLINK("https://sao.dolgi.msk.ru/account/1404291486/", 1404291486)</f>
        <v>1404291486</v>
      </c>
      <c r="F11375">
        <v>0</v>
      </c>
    </row>
    <row r="11376" spans="1:6" hidden="1" x14ac:dyDescent="0.25">
      <c r="A11376" t="s">
        <v>704</v>
      </c>
      <c r="B11376" t="s">
        <v>335</v>
      </c>
      <c r="E11376" s="3">
        <f>HYPERLINK("https://sao.dolgi.msk.ru/account/1404289714/", 1404289714)</f>
        <v>1404289714</v>
      </c>
      <c r="F11376">
        <v>-2825.28</v>
      </c>
    </row>
    <row r="11377" spans="1:6" hidden="1" x14ac:dyDescent="0.25">
      <c r="A11377" t="s">
        <v>704</v>
      </c>
      <c r="B11377" t="s">
        <v>336</v>
      </c>
      <c r="E11377" s="3">
        <f>HYPERLINK("https://sao.dolgi.msk.ru/account/1404286636/", 1404286636)</f>
        <v>1404286636</v>
      </c>
      <c r="F11377">
        <v>0</v>
      </c>
    </row>
    <row r="11378" spans="1:6" x14ac:dyDescent="0.25">
      <c r="A11378" t="s">
        <v>704</v>
      </c>
      <c r="B11378" t="s">
        <v>337</v>
      </c>
      <c r="C11378" s="5" t="str">
        <f t="shared" ref="C11378:C11379" si="476">" кв. "&amp;B11378</f>
        <v xml:space="preserve"> кв. 336</v>
      </c>
      <c r="D11378" s="5" t="str">
        <f>CONCATENATE(A11378,C11378)</f>
        <v>Смольная ул., дом 61 к.1 кв. 336</v>
      </c>
      <c r="E11378" s="3">
        <f>HYPERLINK("https://sao.dolgi.msk.ru/account/1404289562/", 1404289562)</f>
        <v>1404289562</v>
      </c>
      <c r="F11378">
        <v>1158.05</v>
      </c>
    </row>
    <row r="11379" spans="1:6" x14ac:dyDescent="0.25">
      <c r="A11379" t="s">
        <v>704</v>
      </c>
      <c r="B11379" t="s">
        <v>338</v>
      </c>
      <c r="C11379" s="5" t="str">
        <f t="shared" si="476"/>
        <v xml:space="preserve"> кв. 337</v>
      </c>
      <c r="D11379" s="5" t="str">
        <f>CONCATENATE(A11379,C11379)</f>
        <v>Смольная ул., дом 61 к.1 кв. 337</v>
      </c>
      <c r="E11379" s="3">
        <f>HYPERLINK("https://sao.dolgi.msk.ru/account/1404290571/", 1404290571)</f>
        <v>1404290571</v>
      </c>
      <c r="F11379">
        <v>2388.0700000000002</v>
      </c>
    </row>
    <row r="11380" spans="1:6" hidden="1" x14ac:dyDescent="0.25">
      <c r="A11380" t="s">
        <v>704</v>
      </c>
      <c r="B11380" t="s">
        <v>339</v>
      </c>
      <c r="E11380" s="3">
        <f>HYPERLINK("https://sao.dolgi.msk.ru/account/1404289538/", 1404289538)</f>
        <v>1404289538</v>
      </c>
      <c r="F11380">
        <v>0</v>
      </c>
    </row>
    <row r="11381" spans="1:6" hidden="1" x14ac:dyDescent="0.25">
      <c r="A11381" t="s">
        <v>704</v>
      </c>
      <c r="B11381" t="s">
        <v>340</v>
      </c>
      <c r="E11381" s="3">
        <f>HYPERLINK("https://sao.dolgi.msk.ru/account/1404286062/", 1404286062)</f>
        <v>1404286062</v>
      </c>
      <c r="F11381">
        <v>0</v>
      </c>
    </row>
    <row r="11382" spans="1:6" x14ac:dyDescent="0.25">
      <c r="A11382" t="s">
        <v>704</v>
      </c>
      <c r="B11382" t="s">
        <v>341</v>
      </c>
      <c r="C11382" s="5" t="str">
        <f>" кв. "&amp;B11382</f>
        <v xml:space="preserve"> кв. 340</v>
      </c>
      <c r="D11382" s="5" t="str">
        <f>CONCATENATE(A11382,C11382)</f>
        <v>Смольная ул., дом 61 к.1 кв. 340</v>
      </c>
      <c r="E11382" s="3">
        <f>HYPERLINK("https://sao.dolgi.msk.ru/account/1404286898/", 1404286898)</f>
        <v>1404286898</v>
      </c>
      <c r="F11382">
        <v>1262.03</v>
      </c>
    </row>
    <row r="11383" spans="1:6" hidden="1" x14ac:dyDescent="0.25">
      <c r="A11383" t="s">
        <v>704</v>
      </c>
      <c r="B11383" t="s">
        <v>342</v>
      </c>
      <c r="E11383" s="3">
        <f>HYPERLINK("https://sao.dolgi.msk.ru/account/1404286716/", 1404286716)</f>
        <v>1404286716</v>
      </c>
      <c r="F11383">
        <v>-1181.78</v>
      </c>
    </row>
    <row r="11384" spans="1:6" hidden="1" x14ac:dyDescent="0.25">
      <c r="A11384" t="s">
        <v>704</v>
      </c>
      <c r="B11384" t="s">
        <v>342</v>
      </c>
      <c r="E11384" s="3">
        <f>HYPERLINK("https://sao.dolgi.msk.ru/account/1404289052/", 1404289052)</f>
        <v>1404289052</v>
      </c>
      <c r="F11384">
        <v>-1147.01</v>
      </c>
    </row>
    <row r="11385" spans="1:6" x14ac:dyDescent="0.25">
      <c r="A11385" t="s">
        <v>704</v>
      </c>
      <c r="B11385" t="s">
        <v>343</v>
      </c>
      <c r="C11385" s="5" t="str">
        <f>" кв. "&amp;B11385</f>
        <v xml:space="preserve"> кв. 342</v>
      </c>
      <c r="D11385" s="5" t="str">
        <f>CONCATENATE(A11385,C11385)</f>
        <v>Смольная ул., дом 61 к.1 кв. 342</v>
      </c>
      <c r="E11385" s="3">
        <f>HYPERLINK("https://sao.dolgi.msk.ru/account/1404292956/", 1404292956)</f>
        <v>1404292956</v>
      </c>
      <c r="F11385">
        <v>1281.02</v>
      </c>
    </row>
    <row r="11386" spans="1:6" hidden="1" x14ac:dyDescent="0.25">
      <c r="A11386" t="s">
        <v>704</v>
      </c>
      <c r="B11386" t="s">
        <v>344</v>
      </c>
      <c r="E11386" s="3">
        <f>HYPERLINK("https://sao.dolgi.msk.ru/account/1404287233/", 1404287233)</f>
        <v>1404287233</v>
      </c>
      <c r="F11386">
        <v>-2247.77</v>
      </c>
    </row>
    <row r="11387" spans="1:6" x14ac:dyDescent="0.25">
      <c r="A11387" t="s">
        <v>704</v>
      </c>
      <c r="B11387" t="s">
        <v>345</v>
      </c>
      <c r="C11387" s="5" t="str">
        <f>" кв. "&amp;B11387</f>
        <v xml:space="preserve"> кв. 344</v>
      </c>
      <c r="D11387" s="5" t="str">
        <f>CONCATENATE(A11387,C11387)</f>
        <v>Смольная ул., дом 61 к.1 кв. 344</v>
      </c>
      <c r="E11387" s="3">
        <f>HYPERLINK("https://sao.dolgi.msk.ru/account/1404289183/", 1404289183)</f>
        <v>1404289183</v>
      </c>
      <c r="F11387">
        <v>1246.22</v>
      </c>
    </row>
    <row r="11388" spans="1:6" hidden="1" x14ac:dyDescent="0.25">
      <c r="A11388" t="s">
        <v>704</v>
      </c>
      <c r="B11388" t="s">
        <v>346</v>
      </c>
      <c r="E11388" s="3">
        <f>HYPERLINK("https://sao.dolgi.msk.ru/account/1404289159/", 1404289159)</f>
        <v>1404289159</v>
      </c>
      <c r="F11388">
        <v>0</v>
      </c>
    </row>
    <row r="11389" spans="1:6" x14ac:dyDescent="0.25">
      <c r="A11389" t="s">
        <v>704</v>
      </c>
      <c r="B11389" t="s">
        <v>347</v>
      </c>
      <c r="C11389" s="5" t="str">
        <f t="shared" ref="C11389:C11390" si="477">" кв. "&amp;B11389</f>
        <v xml:space="preserve"> кв. 346</v>
      </c>
      <c r="D11389" s="5" t="str">
        <f>CONCATENATE(A11389,C11389)</f>
        <v>Смольная ул., дом 61 к.1 кв. 346</v>
      </c>
      <c r="E11389" s="3">
        <f>HYPERLINK("https://sao.dolgi.msk.ru/account/1404292067/", 1404292067)</f>
        <v>1404292067</v>
      </c>
      <c r="F11389">
        <v>1281.02</v>
      </c>
    </row>
    <row r="11390" spans="1:6" x14ac:dyDescent="0.25">
      <c r="A11390" t="s">
        <v>704</v>
      </c>
      <c r="B11390" t="s">
        <v>348</v>
      </c>
      <c r="C11390" s="5" t="str">
        <f t="shared" si="477"/>
        <v xml:space="preserve"> кв. 347</v>
      </c>
      <c r="D11390" s="5" t="str">
        <f>CONCATENATE(A11390,C11390)</f>
        <v>Смольная ул., дом 61 к.1 кв. 347</v>
      </c>
      <c r="E11390" s="3">
        <f>HYPERLINK("https://sao.dolgi.msk.ru/account/1404286863/", 1404286863)</f>
        <v>1404286863</v>
      </c>
      <c r="F11390">
        <v>1654.25</v>
      </c>
    </row>
    <row r="11391" spans="1:6" hidden="1" x14ac:dyDescent="0.25">
      <c r="A11391" t="s">
        <v>704</v>
      </c>
      <c r="B11391" t="s">
        <v>349</v>
      </c>
      <c r="E11391" s="3">
        <f>HYPERLINK("https://sao.dolgi.msk.ru/account/1404293537/", 1404293537)</f>
        <v>1404293537</v>
      </c>
      <c r="F11391">
        <v>0</v>
      </c>
    </row>
    <row r="11392" spans="1:6" hidden="1" x14ac:dyDescent="0.25">
      <c r="A11392" t="s">
        <v>704</v>
      </c>
      <c r="B11392" t="s">
        <v>350</v>
      </c>
      <c r="E11392" s="3">
        <f>HYPERLINK("https://sao.dolgi.msk.ru/account/1404288113/", 1404288113)</f>
        <v>1404288113</v>
      </c>
      <c r="F11392">
        <v>-2561.58</v>
      </c>
    </row>
    <row r="11393" spans="1:6" hidden="1" x14ac:dyDescent="0.25">
      <c r="A11393" t="s">
        <v>704</v>
      </c>
      <c r="B11393" t="s">
        <v>351</v>
      </c>
      <c r="E11393" s="3">
        <f>HYPERLINK("https://sao.dolgi.msk.ru/account/1404291689/", 1404291689)</f>
        <v>1404291689</v>
      </c>
      <c r="F11393">
        <v>0</v>
      </c>
    </row>
    <row r="11394" spans="1:6" hidden="1" x14ac:dyDescent="0.25">
      <c r="A11394" t="s">
        <v>704</v>
      </c>
      <c r="B11394" t="s">
        <v>352</v>
      </c>
      <c r="E11394" s="3">
        <f>HYPERLINK("https://sao.dolgi.msk.ru/account/1404293123/", 1404293123)</f>
        <v>1404293123</v>
      </c>
      <c r="F11394">
        <v>-2421.9699999999998</v>
      </c>
    </row>
    <row r="11395" spans="1:6" x14ac:dyDescent="0.25">
      <c r="A11395" t="s">
        <v>704</v>
      </c>
      <c r="B11395" t="s">
        <v>353</v>
      </c>
      <c r="C11395" s="5" t="str">
        <f>" кв. "&amp;B11395</f>
        <v xml:space="preserve"> кв. 352</v>
      </c>
      <c r="D11395" s="5" t="str">
        <f>CONCATENATE(A11395,C11395)</f>
        <v>Смольная ул., дом 61 к.1 кв. 352</v>
      </c>
      <c r="E11395" s="3">
        <f>HYPERLINK("https://sao.dolgi.msk.ru/account/1404287022/", 1404287022)</f>
        <v>1404287022</v>
      </c>
      <c r="F11395">
        <v>1768.12</v>
      </c>
    </row>
    <row r="11396" spans="1:6" hidden="1" x14ac:dyDescent="0.25">
      <c r="A11396" t="s">
        <v>704</v>
      </c>
      <c r="B11396" t="s">
        <v>354</v>
      </c>
      <c r="E11396" s="3">
        <f>HYPERLINK("https://sao.dolgi.msk.ru/account/1404292219/", 1404292219)</f>
        <v>1404292219</v>
      </c>
      <c r="F11396">
        <v>-1095.76</v>
      </c>
    </row>
    <row r="11397" spans="1:6" x14ac:dyDescent="0.25">
      <c r="A11397" t="s">
        <v>704</v>
      </c>
      <c r="B11397" t="s">
        <v>355</v>
      </c>
      <c r="C11397" s="5" t="str">
        <f t="shared" ref="C11397:C11398" si="478">" кв. "&amp;B11397</f>
        <v xml:space="preserve"> кв. 354</v>
      </c>
      <c r="D11397" s="5" t="str">
        <f>CONCATENATE(A11397,C11397)</f>
        <v>Смольная ул., дом 61 к.1 кв. 354</v>
      </c>
      <c r="E11397" s="3">
        <f>HYPERLINK("https://sao.dolgi.msk.ru/account/1404292761/", 1404292761)</f>
        <v>1404292761</v>
      </c>
      <c r="F11397">
        <v>1281.02</v>
      </c>
    </row>
    <row r="11398" spans="1:6" x14ac:dyDescent="0.25">
      <c r="A11398" t="s">
        <v>704</v>
      </c>
      <c r="B11398" t="s">
        <v>356</v>
      </c>
      <c r="C11398" s="5" t="str">
        <f t="shared" si="478"/>
        <v xml:space="preserve"> кв. 355</v>
      </c>
      <c r="D11398" s="5" t="str">
        <f>CONCATENATE(A11398,C11398)</f>
        <v>Смольная ул., дом 61 к.1 кв. 355</v>
      </c>
      <c r="E11398" s="3">
        <f>HYPERLINK("https://sao.dolgi.msk.ru/account/1404288463/", 1404288463)</f>
        <v>1404288463</v>
      </c>
      <c r="F11398">
        <v>1141.8399999999999</v>
      </c>
    </row>
    <row r="11399" spans="1:6" hidden="1" x14ac:dyDescent="0.25">
      <c r="A11399" t="s">
        <v>704</v>
      </c>
      <c r="B11399" t="s">
        <v>357</v>
      </c>
      <c r="E11399" s="3">
        <f>HYPERLINK("https://sao.dolgi.msk.ru/account/1404291216/", 1404291216)</f>
        <v>1404291216</v>
      </c>
      <c r="F11399">
        <v>-2592.98</v>
      </c>
    </row>
    <row r="11400" spans="1:6" hidden="1" x14ac:dyDescent="0.25">
      <c r="A11400" t="s">
        <v>704</v>
      </c>
      <c r="B11400" t="s">
        <v>358</v>
      </c>
      <c r="E11400" s="3">
        <f>HYPERLINK("https://sao.dolgi.msk.ru/account/1404292825/", 1404292825)</f>
        <v>1404292825</v>
      </c>
      <c r="F11400">
        <v>-3461.93</v>
      </c>
    </row>
    <row r="11401" spans="1:6" hidden="1" x14ac:dyDescent="0.25">
      <c r="A11401" t="s">
        <v>704</v>
      </c>
      <c r="B11401" t="s">
        <v>359</v>
      </c>
      <c r="E11401" s="3">
        <f>HYPERLINK("https://sao.dolgi.msk.ru/account/1404289271/", 1404289271)</f>
        <v>1404289271</v>
      </c>
      <c r="F11401">
        <v>-1871.94</v>
      </c>
    </row>
    <row r="11402" spans="1:6" hidden="1" x14ac:dyDescent="0.25">
      <c r="A11402" t="s">
        <v>704</v>
      </c>
      <c r="B11402" t="s">
        <v>360</v>
      </c>
      <c r="E11402" s="3">
        <f>HYPERLINK("https://sao.dolgi.msk.ru/account/1404292112/", 1404292112)</f>
        <v>1404292112</v>
      </c>
      <c r="F11402">
        <v>-2421.9699999999998</v>
      </c>
    </row>
    <row r="11403" spans="1:6" hidden="1" x14ac:dyDescent="0.25">
      <c r="A11403" t="s">
        <v>704</v>
      </c>
      <c r="B11403" t="s">
        <v>361</v>
      </c>
      <c r="E11403" s="3">
        <f>HYPERLINK("https://sao.dolgi.msk.ru/account/1404287436/", 1404287436)</f>
        <v>1404287436</v>
      </c>
      <c r="F11403">
        <v>-1484.36</v>
      </c>
    </row>
    <row r="11404" spans="1:6" hidden="1" x14ac:dyDescent="0.25">
      <c r="A11404" t="s">
        <v>704</v>
      </c>
      <c r="B11404" t="s">
        <v>362</v>
      </c>
      <c r="E11404" s="3">
        <f>HYPERLINK("https://sao.dolgi.msk.ru/account/1404288041/", 1404288041)</f>
        <v>1404288041</v>
      </c>
      <c r="F11404">
        <v>-3457.3</v>
      </c>
    </row>
    <row r="11405" spans="1:6" hidden="1" x14ac:dyDescent="0.25">
      <c r="A11405" t="s">
        <v>704</v>
      </c>
      <c r="B11405" t="s">
        <v>363</v>
      </c>
      <c r="E11405" s="3">
        <f>HYPERLINK("https://sao.dolgi.msk.ru/account/1404293449/", 1404293449)</f>
        <v>1404293449</v>
      </c>
      <c r="F11405">
        <v>-1867.31</v>
      </c>
    </row>
    <row r="11406" spans="1:6" x14ac:dyDescent="0.25">
      <c r="A11406" t="s">
        <v>704</v>
      </c>
      <c r="B11406" t="s">
        <v>364</v>
      </c>
      <c r="C11406" s="5" t="str">
        <f t="shared" ref="C11406:C11407" si="479">" кв. "&amp;B11406</f>
        <v xml:space="preserve"> кв. 363</v>
      </c>
      <c r="D11406" s="5" t="str">
        <f>CONCATENATE(A11406,C11406)</f>
        <v>Смольная ул., дом 61 к.1 кв. 363</v>
      </c>
      <c r="E11406" s="3">
        <f>HYPERLINK("https://sao.dolgi.msk.ru/account/1404287743/", 1404287743)</f>
        <v>1404287743</v>
      </c>
      <c r="F11406">
        <v>999.51</v>
      </c>
    </row>
    <row r="11407" spans="1:6" x14ac:dyDescent="0.25">
      <c r="A11407" t="s">
        <v>704</v>
      </c>
      <c r="B11407" t="s">
        <v>365</v>
      </c>
      <c r="C11407" s="5" t="str">
        <f t="shared" si="479"/>
        <v xml:space="preserve"> кв. 364</v>
      </c>
      <c r="D11407" s="5" t="str">
        <f>CONCATENATE(A11407,C11407)</f>
        <v>Смольная ул., дом 61 к.1 кв. 364</v>
      </c>
      <c r="E11407" s="3">
        <f>HYPERLINK("https://sao.dolgi.msk.ru/account/1404290651/", 1404290651)</f>
        <v>1404290651</v>
      </c>
      <c r="F11407">
        <v>1764.95</v>
      </c>
    </row>
    <row r="11408" spans="1:6" hidden="1" x14ac:dyDescent="0.25">
      <c r="A11408" t="s">
        <v>704</v>
      </c>
      <c r="B11408" t="s">
        <v>366</v>
      </c>
      <c r="E11408" s="3">
        <f>HYPERLINK("https://sao.dolgi.msk.ru/account/1404287698/", 1404287698)</f>
        <v>1404287698</v>
      </c>
      <c r="F11408">
        <v>0</v>
      </c>
    </row>
    <row r="11409" spans="1:6" hidden="1" x14ac:dyDescent="0.25">
      <c r="A11409" t="s">
        <v>704</v>
      </c>
      <c r="B11409" t="s">
        <v>367</v>
      </c>
      <c r="E11409" s="3">
        <f>HYPERLINK("https://sao.dolgi.msk.ru/account/1404292163/", 1404292163)</f>
        <v>1404292163</v>
      </c>
      <c r="F11409">
        <v>-1885.8</v>
      </c>
    </row>
    <row r="11410" spans="1:6" hidden="1" x14ac:dyDescent="0.25">
      <c r="A11410" t="s">
        <v>704</v>
      </c>
      <c r="B11410" t="s">
        <v>368</v>
      </c>
      <c r="E11410" s="3">
        <f>HYPERLINK("https://sao.dolgi.msk.ru/account/1404291515/", 1404291515)</f>
        <v>1404291515</v>
      </c>
      <c r="F11410">
        <v>-1521.7</v>
      </c>
    </row>
    <row r="11411" spans="1:6" hidden="1" x14ac:dyDescent="0.25">
      <c r="A11411" t="s">
        <v>704</v>
      </c>
      <c r="B11411" t="s">
        <v>369</v>
      </c>
      <c r="E11411" s="3">
        <f>HYPERLINK("https://sao.dolgi.msk.ru/account/1404292227/", 1404292227)</f>
        <v>1404292227</v>
      </c>
      <c r="F11411">
        <v>-1642.35</v>
      </c>
    </row>
    <row r="11412" spans="1:6" hidden="1" x14ac:dyDescent="0.25">
      <c r="A11412" t="s">
        <v>704</v>
      </c>
      <c r="B11412" t="s">
        <v>370</v>
      </c>
      <c r="E11412" s="3">
        <f>HYPERLINK("https://sao.dolgi.msk.ru/account/1404286097/", 1404286097)</f>
        <v>1404286097</v>
      </c>
      <c r="F11412">
        <v>-3475.8</v>
      </c>
    </row>
    <row r="11413" spans="1:6" hidden="1" x14ac:dyDescent="0.25">
      <c r="A11413" t="s">
        <v>704</v>
      </c>
      <c r="B11413" t="s">
        <v>371</v>
      </c>
      <c r="E11413" s="3">
        <f>HYPERLINK("https://sao.dolgi.msk.ru/account/1404288527/", 1404288527)</f>
        <v>1404288527</v>
      </c>
      <c r="F11413">
        <v>-1890.43</v>
      </c>
    </row>
    <row r="11414" spans="1:6" hidden="1" x14ac:dyDescent="0.25">
      <c r="A11414" t="s">
        <v>704</v>
      </c>
      <c r="B11414" t="s">
        <v>372</v>
      </c>
      <c r="E11414" s="3">
        <f>HYPERLINK("https://sao.dolgi.msk.ru/account/1404290088/", 1404290088)</f>
        <v>1404290088</v>
      </c>
      <c r="F11414">
        <v>-2431.1999999999998</v>
      </c>
    </row>
    <row r="11415" spans="1:6" hidden="1" x14ac:dyDescent="0.25">
      <c r="A11415" t="s">
        <v>704</v>
      </c>
      <c r="B11415" t="s">
        <v>373</v>
      </c>
      <c r="E11415" s="3">
        <f>HYPERLINK("https://sao.dolgi.msk.ru/account/1404286089/", 1404286089)</f>
        <v>1404286089</v>
      </c>
      <c r="F11415">
        <v>-2588.36</v>
      </c>
    </row>
    <row r="11416" spans="1:6" hidden="1" x14ac:dyDescent="0.25">
      <c r="A11416" t="s">
        <v>704</v>
      </c>
      <c r="B11416" t="s">
        <v>374</v>
      </c>
      <c r="E11416" s="3">
        <f>HYPERLINK("https://sao.dolgi.msk.ru/account/1404290694/", 1404290694)</f>
        <v>1404290694</v>
      </c>
      <c r="F11416">
        <v>0</v>
      </c>
    </row>
    <row r="11417" spans="1:6" hidden="1" x14ac:dyDescent="0.25">
      <c r="A11417" t="s">
        <v>704</v>
      </c>
      <c r="B11417" t="s">
        <v>375</v>
      </c>
      <c r="E11417" s="3">
        <f>HYPERLINK("https://sao.dolgi.msk.ru/account/1404290184/", 1404290184)</f>
        <v>1404290184</v>
      </c>
      <c r="F11417">
        <v>0</v>
      </c>
    </row>
    <row r="11418" spans="1:6" hidden="1" x14ac:dyDescent="0.25">
      <c r="A11418" t="s">
        <v>704</v>
      </c>
      <c r="B11418" t="s">
        <v>376</v>
      </c>
      <c r="E11418" s="3">
        <f>HYPERLINK("https://sao.dolgi.msk.ru/account/1404285991/", 1404285991)</f>
        <v>1404285991</v>
      </c>
      <c r="F11418">
        <v>0</v>
      </c>
    </row>
    <row r="11419" spans="1:6" x14ac:dyDescent="0.25">
      <c r="A11419" t="s">
        <v>704</v>
      </c>
      <c r="B11419" t="s">
        <v>377</v>
      </c>
      <c r="C11419" s="5" t="str">
        <f>" кв. "&amp;B11419</f>
        <v xml:space="preserve"> кв. 376</v>
      </c>
      <c r="D11419" s="5" t="str">
        <f>CONCATENATE(A11419,C11419)</f>
        <v>Смольная ул., дом 61 к.1 кв. 376</v>
      </c>
      <c r="E11419" s="3">
        <f>HYPERLINK("https://sao.dolgi.msk.ru/account/1404288287/", 1404288287)</f>
        <v>1404288287</v>
      </c>
      <c r="F11419">
        <v>1323.71</v>
      </c>
    </row>
    <row r="11420" spans="1:6" hidden="1" x14ac:dyDescent="0.25">
      <c r="A11420" t="s">
        <v>704</v>
      </c>
      <c r="B11420" t="s">
        <v>378</v>
      </c>
      <c r="E11420" s="3">
        <f>HYPERLINK("https://sao.dolgi.msk.ru/account/1404289749/", 1404289749)</f>
        <v>1404289749</v>
      </c>
      <c r="F11420">
        <v>-3466.55</v>
      </c>
    </row>
    <row r="11421" spans="1:6" hidden="1" x14ac:dyDescent="0.25">
      <c r="A11421" t="s">
        <v>704</v>
      </c>
      <c r="B11421" t="s">
        <v>379</v>
      </c>
      <c r="E11421" s="3">
        <f>HYPERLINK("https://sao.dolgi.msk.ru/account/1404288105/", 1404288105)</f>
        <v>1404288105</v>
      </c>
      <c r="F11421">
        <v>-1885.8</v>
      </c>
    </row>
    <row r="11422" spans="1:6" x14ac:dyDescent="0.25">
      <c r="A11422" t="s">
        <v>704</v>
      </c>
      <c r="B11422" t="s">
        <v>380</v>
      </c>
      <c r="C11422" s="5" t="str">
        <f>" кв. "&amp;B11422</f>
        <v xml:space="preserve"> кв. 379</v>
      </c>
      <c r="D11422" s="5" t="str">
        <f>CONCATENATE(A11422,C11422)</f>
        <v>Смольная ул., дом 61 к.1 кв. 379</v>
      </c>
      <c r="E11422" s="3">
        <f>HYPERLINK("https://sao.dolgi.msk.ru/account/1404292286/", 1404292286)</f>
        <v>1404292286</v>
      </c>
      <c r="F11422">
        <v>1666.9</v>
      </c>
    </row>
    <row r="11423" spans="1:6" hidden="1" x14ac:dyDescent="0.25">
      <c r="A11423" t="s">
        <v>704</v>
      </c>
      <c r="B11423" t="s">
        <v>381</v>
      </c>
      <c r="E11423" s="3">
        <f>HYPERLINK("https://sao.dolgi.msk.ru/account/1404293668/", 1404293668)</f>
        <v>1404293668</v>
      </c>
      <c r="F11423">
        <v>-2588.36</v>
      </c>
    </row>
    <row r="11424" spans="1:6" hidden="1" x14ac:dyDescent="0.25">
      <c r="A11424" t="s">
        <v>704</v>
      </c>
      <c r="B11424" t="s">
        <v>382</v>
      </c>
      <c r="E11424" s="3">
        <f>HYPERLINK("https://sao.dolgi.msk.ru/account/1404287313/", 1404287313)</f>
        <v>1404287313</v>
      </c>
      <c r="F11424">
        <v>0</v>
      </c>
    </row>
    <row r="11425" spans="1:6" x14ac:dyDescent="0.25">
      <c r="A11425" t="s">
        <v>704</v>
      </c>
      <c r="B11425" t="s">
        <v>383</v>
      </c>
      <c r="C11425" s="5" t="str">
        <f>" кв. "&amp;B11425</f>
        <v xml:space="preserve"> кв. 382</v>
      </c>
      <c r="D11425" s="5" t="str">
        <f>CONCATENATE(A11425,C11425)</f>
        <v>Смольная ул., дом 61 к.1 кв. 382</v>
      </c>
      <c r="E11425" s="3">
        <f>HYPERLINK("https://sao.dolgi.msk.ru/account/1404287487/", 1404287487)</f>
        <v>1404287487</v>
      </c>
      <c r="F11425">
        <v>1284.18</v>
      </c>
    </row>
    <row r="11426" spans="1:6" hidden="1" x14ac:dyDescent="0.25">
      <c r="A11426" t="s">
        <v>704</v>
      </c>
      <c r="B11426" t="s">
        <v>384</v>
      </c>
      <c r="E11426" s="3">
        <f>HYPERLINK("https://sao.dolgi.msk.ru/account/1404286417/", 1404286417)</f>
        <v>1404286417</v>
      </c>
      <c r="F11426">
        <v>-1533.34</v>
      </c>
    </row>
    <row r="11427" spans="1:6" hidden="1" x14ac:dyDescent="0.25">
      <c r="A11427" t="s">
        <v>704</v>
      </c>
      <c r="B11427" t="s">
        <v>385</v>
      </c>
      <c r="E11427" s="3">
        <f>HYPERLINK("https://sao.dolgi.msk.ru/account/1404286492/", 1404286492)</f>
        <v>1404286492</v>
      </c>
      <c r="F11427">
        <v>0</v>
      </c>
    </row>
    <row r="11428" spans="1:6" hidden="1" x14ac:dyDescent="0.25">
      <c r="A11428" t="s">
        <v>704</v>
      </c>
      <c r="B11428" t="s">
        <v>386</v>
      </c>
      <c r="E11428" s="3">
        <f>HYPERLINK("https://sao.dolgi.msk.ru/account/1404291478/", 1404291478)</f>
        <v>1404291478</v>
      </c>
      <c r="F11428">
        <v>-2713.16</v>
      </c>
    </row>
    <row r="11429" spans="1:6" hidden="1" x14ac:dyDescent="0.25">
      <c r="A11429" t="s">
        <v>704</v>
      </c>
      <c r="B11429" t="s">
        <v>387</v>
      </c>
      <c r="E11429" s="3">
        <f>HYPERLINK("https://sao.dolgi.msk.ru/account/1404291427/", 1404291427)</f>
        <v>1404291427</v>
      </c>
      <c r="F11429">
        <v>-1876.56</v>
      </c>
    </row>
    <row r="11430" spans="1:6" hidden="1" x14ac:dyDescent="0.25">
      <c r="A11430" t="s">
        <v>704</v>
      </c>
      <c r="B11430" t="s">
        <v>388</v>
      </c>
      <c r="E11430" s="3">
        <f>HYPERLINK("https://sao.dolgi.msk.ru/account/1404288906/", 1404288906)</f>
        <v>1404288906</v>
      </c>
      <c r="F11430">
        <v>-2435.8200000000002</v>
      </c>
    </row>
    <row r="11431" spans="1:6" hidden="1" x14ac:dyDescent="0.25">
      <c r="A11431" t="s">
        <v>704</v>
      </c>
      <c r="B11431" t="s">
        <v>389</v>
      </c>
      <c r="E11431" s="3">
        <f>HYPERLINK("https://sao.dolgi.msk.ru/account/1404291662/", 1404291662)</f>
        <v>1404291662</v>
      </c>
      <c r="F11431">
        <v>0</v>
      </c>
    </row>
    <row r="11432" spans="1:6" hidden="1" x14ac:dyDescent="0.25">
      <c r="A11432" t="s">
        <v>704</v>
      </c>
      <c r="B11432" t="s">
        <v>390</v>
      </c>
      <c r="E11432" s="3">
        <f>HYPERLINK("https://sao.dolgi.msk.ru/account/1404289319/", 1404289319)</f>
        <v>1404289319</v>
      </c>
      <c r="F11432">
        <v>-2708.53</v>
      </c>
    </row>
    <row r="11433" spans="1:6" hidden="1" x14ac:dyDescent="0.25">
      <c r="A11433" t="s">
        <v>704</v>
      </c>
      <c r="B11433" t="s">
        <v>391</v>
      </c>
      <c r="E11433" s="3">
        <f>HYPERLINK("https://sao.dolgi.msk.ru/account/1404287639/", 1404287639)</f>
        <v>1404287639</v>
      </c>
      <c r="F11433">
        <v>-1871.94</v>
      </c>
    </row>
    <row r="11434" spans="1:6" hidden="1" x14ac:dyDescent="0.25">
      <c r="A11434" t="s">
        <v>704</v>
      </c>
      <c r="B11434" t="s">
        <v>392</v>
      </c>
      <c r="E11434" s="3">
        <f>HYPERLINK("https://sao.dolgi.msk.ru/account/1404286193/", 1404286193)</f>
        <v>1404286193</v>
      </c>
      <c r="F11434">
        <v>-2047.46</v>
      </c>
    </row>
    <row r="11435" spans="1:6" hidden="1" x14ac:dyDescent="0.25">
      <c r="A11435" t="s">
        <v>704</v>
      </c>
      <c r="B11435" t="s">
        <v>393</v>
      </c>
      <c r="E11435" s="3">
        <f>HYPERLINK("https://sao.dolgi.msk.ru/account/1404286222/", 1404286222)</f>
        <v>1404286222</v>
      </c>
      <c r="F11435">
        <v>-2592.98</v>
      </c>
    </row>
    <row r="11436" spans="1:6" hidden="1" x14ac:dyDescent="0.25">
      <c r="A11436" t="s">
        <v>704</v>
      </c>
      <c r="B11436" t="s">
        <v>394</v>
      </c>
      <c r="E11436" s="3">
        <f>HYPERLINK("https://sao.dolgi.msk.ru/account/1404287479/", 1404287479)</f>
        <v>1404287479</v>
      </c>
      <c r="F11436">
        <v>-3485.04</v>
      </c>
    </row>
    <row r="11437" spans="1:6" hidden="1" x14ac:dyDescent="0.25">
      <c r="A11437" t="s">
        <v>704</v>
      </c>
      <c r="B11437" t="s">
        <v>395</v>
      </c>
      <c r="E11437" s="3">
        <f>HYPERLINK("https://sao.dolgi.msk.ru/account/1404287583/", 1404287583)</f>
        <v>1404287583</v>
      </c>
      <c r="F11437">
        <v>-598.22</v>
      </c>
    </row>
    <row r="11438" spans="1:6" x14ac:dyDescent="0.25">
      <c r="A11438" t="s">
        <v>704</v>
      </c>
      <c r="B11438" t="s">
        <v>396</v>
      </c>
      <c r="C11438" s="5" t="str">
        <f>" кв. "&amp;B11438</f>
        <v xml:space="preserve"> кв. 395</v>
      </c>
      <c r="D11438" s="5" t="str">
        <f>CONCATENATE(A11438,C11438)</f>
        <v>Смольная ул., дом 61 к.1 кв. 395</v>
      </c>
      <c r="E11438" s="3">
        <f>HYPERLINK("https://sao.dolgi.msk.ru/account/1404288973/", 1404288973)</f>
        <v>1404288973</v>
      </c>
      <c r="F11438">
        <v>1657.41</v>
      </c>
    </row>
    <row r="11439" spans="1:6" hidden="1" x14ac:dyDescent="0.25">
      <c r="A11439" t="s">
        <v>704</v>
      </c>
      <c r="B11439" t="s">
        <v>397</v>
      </c>
      <c r="E11439" s="3">
        <f>HYPERLINK("https://sao.dolgi.msk.ru/account/1404287786/", 1404287786)</f>
        <v>1404287786</v>
      </c>
      <c r="F11439">
        <v>-1584.96</v>
      </c>
    </row>
    <row r="11440" spans="1:6" hidden="1" x14ac:dyDescent="0.25">
      <c r="A11440" t="s">
        <v>704</v>
      </c>
      <c r="B11440" t="s">
        <v>398</v>
      </c>
      <c r="E11440" s="3">
        <f>HYPERLINK("https://sao.dolgi.msk.ru/account/1404292614/", 1404292614)</f>
        <v>1404292614</v>
      </c>
      <c r="F11440">
        <v>-2938.87</v>
      </c>
    </row>
    <row r="11441" spans="1:6" hidden="1" x14ac:dyDescent="0.25">
      <c r="A11441" t="s">
        <v>704</v>
      </c>
      <c r="B11441" t="s">
        <v>399</v>
      </c>
      <c r="E11441" s="3">
        <f>HYPERLINK("https://sao.dolgi.msk.ru/account/1404289642/", 1404289642)</f>
        <v>1404289642</v>
      </c>
      <c r="F11441">
        <v>-1885.8</v>
      </c>
    </row>
    <row r="11442" spans="1:6" hidden="1" x14ac:dyDescent="0.25">
      <c r="A11442" t="s">
        <v>704</v>
      </c>
      <c r="B11442" t="s">
        <v>400</v>
      </c>
      <c r="E11442" s="3">
        <f>HYPERLINK("https://sao.dolgi.msk.ru/account/1404288447/", 1404288447)</f>
        <v>1404288447</v>
      </c>
      <c r="F11442">
        <v>0</v>
      </c>
    </row>
    <row r="11443" spans="1:6" hidden="1" x14ac:dyDescent="0.25">
      <c r="A11443" t="s">
        <v>704</v>
      </c>
      <c r="B11443" t="s">
        <v>401</v>
      </c>
      <c r="E11443" s="3">
        <f>HYPERLINK("https://sao.dolgi.msk.ru/account/1404286038/", 1404286038)</f>
        <v>1404286038</v>
      </c>
      <c r="F11443">
        <v>-2597.61</v>
      </c>
    </row>
    <row r="11444" spans="1:6" hidden="1" x14ac:dyDescent="0.25">
      <c r="A11444" t="s">
        <v>704</v>
      </c>
      <c r="B11444" t="s">
        <v>402</v>
      </c>
      <c r="E11444" s="3">
        <f>HYPERLINK("https://sao.dolgi.msk.ru/account/1404288172/", 1404288172)</f>
        <v>1404288172</v>
      </c>
      <c r="F11444">
        <v>-2727.03</v>
      </c>
    </row>
    <row r="11445" spans="1:6" hidden="1" x14ac:dyDescent="0.25">
      <c r="A11445" t="s">
        <v>704</v>
      </c>
      <c r="B11445" t="s">
        <v>403</v>
      </c>
      <c r="E11445" s="3">
        <f>HYPERLINK("https://sao.dolgi.msk.ru/account/1404289474/", 1404289474)</f>
        <v>1404289474</v>
      </c>
      <c r="F11445">
        <v>-1904.3</v>
      </c>
    </row>
    <row r="11446" spans="1:6" hidden="1" x14ac:dyDescent="0.25">
      <c r="A11446" t="s">
        <v>704</v>
      </c>
      <c r="B11446" t="s">
        <v>404</v>
      </c>
      <c r="E11446" s="3">
        <f>HYPERLINK("https://sao.dolgi.msk.ru/account/1404290352/", 1404290352)</f>
        <v>1404290352</v>
      </c>
      <c r="F11446">
        <v>-2440.44</v>
      </c>
    </row>
    <row r="11447" spans="1:6" hidden="1" x14ac:dyDescent="0.25">
      <c r="A11447" t="s">
        <v>704</v>
      </c>
      <c r="B11447" t="s">
        <v>405</v>
      </c>
      <c r="E11447" s="3">
        <f>HYPERLINK("https://sao.dolgi.msk.ru/account/1404291179/", 1404291179)</f>
        <v>1404291179</v>
      </c>
      <c r="F11447">
        <v>0</v>
      </c>
    </row>
    <row r="11448" spans="1:6" hidden="1" x14ac:dyDescent="0.25">
      <c r="A11448" t="s">
        <v>704</v>
      </c>
      <c r="B11448" t="s">
        <v>406</v>
      </c>
      <c r="E11448" s="3">
        <f>HYPERLINK("https://sao.dolgi.msk.ru/account/1404292841/", 1404292841)</f>
        <v>1404292841</v>
      </c>
      <c r="F11448">
        <v>-3489.67</v>
      </c>
    </row>
    <row r="11449" spans="1:6" x14ac:dyDescent="0.25">
      <c r="A11449" t="s">
        <v>704</v>
      </c>
      <c r="B11449" t="s">
        <v>407</v>
      </c>
      <c r="C11449" s="5" t="str">
        <f>" кв. "&amp;B11449</f>
        <v xml:space="preserve"> кв. 406</v>
      </c>
      <c r="D11449" s="5" t="str">
        <f>CONCATENATE(A11449,C11449)</f>
        <v>Смольная ул., дом 61 к.1 кв. 406</v>
      </c>
      <c r="E11449" s="3">
        <f>HYPERLINK("https://sao.dolgi.msk.ru/account/1404290344/", 1404290344)</f>
        <v>1404290344</v>
      </c>
      <c r="F11449">
        <v>1290.5</v>
      </c>
    </row>
    <row r="11450" spans="1:6" hidden="1" x14ac:dyDescent="0.25">
      <c r="A11450" t="s">
        <v>704</v>
      </c>
      <c r="B11450" t="s">
        <v>408</v>
      </c>
      <c r="E11450" s="3">
        <f>HYPERLINK("https://sao.dolgi.msk.ru/account/1404288703/", 1404288703)</f>
        <v>1404288703</v>
      </c>
      <c r="F11450">
        <v>-1361.63</v>
      </c>
    </row>
    <row r="11451" spans="1:6" x14ac:dyDescent="0.25">
      <c r="A11451" t="s">
        <v>704</v>
      </c>
      <c r="B11451" t="s">
        <v>409</v>
      </c>
      <c r="C11451" s="5" t="str">
        <f>" кв. "&amp;B11451</f>
        <v xml:space="preserve"> кв. 408</v>
      </c>
      <c r="D11451" s="5" t="str">
        <f>CONCATENATE(A11451,C11451)</f>
        <v>Смольная ул., дом 61 к.1 кв. 408</v>
      </c>
      <c r="E11451" s="3">
        <f>HYPERLINK("https://sao.dolgi.msk.ru/account/1404293115/", 1404293115)</f>
        <v>1404293115</v>
      </c>
      <c r="F11451">
        <v>1771.28</v>
      </c>
    </row>
    <row r="11452" spans="1:6" hidden="1" x14ac:dyDescent="0.25">
      <c r="A11452" t="s">
        <v>704</v>
      </c>
      <c r="B11452" t="s">
        <v>410</v>
      </c>
      <c r="E11452" s="3">
        <f>HYPERLINK("https://sao.dolgi.msk.ru/account/1404290598/", 1404290598)</f>
        <v>1404290598</v>
      </c>
      <c r="F11452">
        <v>0</v>
      </c>
    </row>
    <row r="11453" spans="1:6" x14ac:dyDescent="0.25">
      <c r="A11453" t="s">
        <v>704</v>
      </c>
      <c r="B11453" t="s">
        <v>411</v>
      </c>
      <c r="C11453" s="5" t="str">
        <f>" кв. "&amp;B11453</f>
        <v xml:space="preserve"> кв. 410</v>
      </c>
      <c r="D11453" s="5" t="str">
        <f>CONCATENATE(A11453,C11453)</f>
        <v>Смольная ул., дом 61 к.1 кв. 410</v>
      </c>
      <c r="E11453" s="3">
        <f>HYPERLINK("https://sao.dolgi.msk.ru/account/1404289546/", 1404289546)</f>
        <v>1404289546</v>
      </c>
      <c r="F11453">
        <v>1293.67</v>
      </c>
    </row>
    <row r="11454" spans="1:6" hidden="1" x14ac:dyDescent="0.25">
      <c r="A11454" t="s">
        <v>704</v>
      </c>
      <c r="B11454" t="s">
        <v>429</v>
      </c>
      <c r="E11454" s="3">
        <f>HYPERLINK("https://sao.dolgi.msk.ru/account/1404291929/", 1404291929)</f>
        <v>1404291929</v>
      </c>
      <c r="F11454">
        <v>-2440.44</v>
      </c>
    </row>
    <row r="11455" spans="1:6" hidden="1" x14ac:dyDescent="0.25">
      <c r="A11455" t="s">
        <v>704</v>
      </c>
      <c r="B11455" t="s">
        <v>430</v>
      </c>
      <c r="E11455" s="3">
        <f>HYPERLINK("https://sao.dolgi.msk.ru/account/1404291603/", 1404291603)</f>
        <v>1404291603</v>
      </c>
      <c r="F11455">
        <v>-2602.23</v>
      </c>
    </row>
    <row r="11456" spans="1:6" x14ac:dyDescent="0.25">
      <c r="A11456" t="s">
        <v>704</v>
      </c>
      <c r="B11456" t="s">
        <v>431</v>
      </c>
      <c r="C11456" s="5" t="str">
        <f>" кв. "&amp;B11456</f>
        <v xml:space="preserve"> кв. 413</v>
      </c>
      <c r="D11456" s="5" t="str">
        <f>CONCATENATE(A11456,C11456)</f>
        <v>Смольная ул., дом 61 к.1 кв. 413</v>
      </c>
      <c r="E11456" s="3">
        <f>HYPERLINK("https://sao.dolgi.msk.ru/account/1404291638/", 1404291638)</f>
        <v>1404291638</v>
      </c>
      <c r="F11456">
        <v>1730.16</v>
      </c>
    </row>
    <row r="11457" spans="1:6" hidden="1" x14ac:dyDescent="0.25">
      <c r="A11457" t="s">
        <v>704</v>
      </c>
      <c r="B11457" t="s">
        <v>432</v>
      </c>
      <c r="E11457" s="3">
        <f>HYPERLINK("https://sao.dolgi.msk.ru/account/1404288076/", 1404288076)</f>
        <v>1404288076</v>
      </c>
      <c r="F11457">
        <v>-1240.55</v>
      </c>
    </row>
    <row r="11458" spans="1:6" hidden="1" x14ac:dyDescent="0.25">
      <c r="A11458" t="s">
        <v>704</v>
      </c>
      <c r="B11458" t="s">
        <v>433</v>
      </c>
      <c r="E11458" s="3">
        <f>HYPERLINK("https://sao.dolgi.msk.ru/account/1404287372/", 1404287372)</f>
        <v>1404287372</v>
      </c>
      <c r="F11458">
        <v>-2454.31</v>
      </c>
    </row>
    <row r="11459" spans="1:6" x14ac:dyDescent="0.25">
      <c r="A11459" t="s">
        <v>704</v>
      </c>
      <c r="B11459" t="s">
        <v>434</v>
      </c>
      <c r="C11459" s="5" t="str">
        <f>" кв. "&amp;B11459</f>
        <v xml:space="preserve"> кв. 416</v>
      </c>
      <c r="D11459" s="5" t="str">
        <f>CONCATENATE(A11459,C11459)</f>
        <v>Смольная ул., дом 61 к.1 кв. 416</v>
      </c>
      <c r="E11459" s="3">
        <f>HYPERLINK("https://sao.dolgi.msk.ru/account/1404291435/", 1404291435)</f>
        <v>1404291435</v>
      </c>
      <c r="F11459">
        <v>1774.44</v>
      </c>
    </row>
    <row r="11460" spans="1:6" hidden="1" x14ac:dyDescent="0.25">
      <c r="A11460" t="s">
        <v>704</v>
      </c>
      <c r="B11460" t="s">
        <v>435</v>
      </c>
      <c r="E11460" s="3">
        <f>HYPERLINK("https://sao.dolgi.msk.ru/account/1404286257/", 1404286257)</f>
        <v>1404286257</v>
      </c>
      <c r="F11460">
        <v>-3494.29</v>
      </c>
    </row>
    <row r="11461" spans="1:6" hidden="1" x14ac:dyDescent="0.25">
      <c r="A11461" t="s">
        <v>704</v>
      </c>
      <c r="B11461" t="s">
        <v>436</v>
      </c>
      <c r="E11461" s="3">
        <f>HYPERLINK("https://sao.dolgi.msk.ru/account/1404288797/", 1404288797)</f>
        <v>1404288797</v>
      </c>
      <c r="F11461">
        <v>-1904.3</v>
      </c>
    </row>
    <row r="11462" spans="1:6" hidden="1" x14ac:dyDescent="0.25">
      <c r="A11462" t="s">
        <v>704</v>
      </c>
      <c r="B11462" t="s">
        <v>437</v>
      </c>
      <c r="E11462" s="3">
        <f>HYPERLINK("https://sao.dolgi.msk.ru/account/1404292171/", 1404292171)</f>
        <v>1404292171</v>
      </c>
      <c r="F11462">
        <v>0</v>
      </c>
    </row>
    <row r="11463" spans="1:6" hidden="1" x14ac:dyDescent="0.25">
      <c r="A11463" t="s">
        <v>704</v>
      </c>
      <c r="B11463" t="s">
        <v>438</v>
      </c>
      <c r="E11463" s="3">
        <f>HYPERLINK("https://sao.dolgi.msk.ru/account/1404287647/", 1404287647)</f>
        <v>1404287647</v>
      </c>
      <c r="F11463">
        <v>-2606.85</v>
      </c>
    </row>
    <row r="11464" spans="1:6" hidden="1" x14ac:dyDescent="0.25">
      <c r="A11464" t="s">
        <v>704</v>
      </c>
      <c r="B11464" t="s">
        <v>439</v>
      </c>
      <c r="E11464" s="3">
        <f>HYPERLINK("https://sao.dolgi.msk.ru/account/1404292438/", 1404292438)</f>
        <v>1404292438</v>
      </c>
      <c r="F11464">
        <v>0</v>
      </c>
    </row>
    <row r="11465" spans="1:6" x14ac:dyDescent="0.25">
      <c r="A11465" t="s">
        <v>704</v>
      </c>
      <c r="B11465" t="s">
        <v>440</v>
      </c>
      <c r="C11465" s="5" t="str">
        <f>" кв. "&amp;B11465</f>
        <v xml:space="preserve"> кв. 422</v>
      </c>
      <c r="D11465" s="5" t="str">
        <f>CONCATENATE(A11465,C11465)</f>
        <v>Смольная ул., дом 61 к.1 кв. 422</v>
      </c>
      <c r="E11465" s="3">
        <f>HYPERLINK("https://sao.dolgi.msk.ru/account/1404288869/", 1404288869)</f>
        <v>1404288869</v>
      </c>
      <c r="F11465">
        <v>1306.32</v>
      </c>
    </row>
    <row r="11466" spans="1:6" hidden="1" x14ac:dyDescent="0.25">
      <c r="A11466" t="s">
        <v>704</v>
      </c>
      <c r="B11466" t="s">
        <v>441</v>
      </c>
      <c r="E11466" s="3">
        <f>HYPERLINK("https://sao.dolgi.msk.ru/account/1404286767/", 1404286767)</f>
        <v>1404286767</v>
      </c>
      <c r="F11466">
        <v>0</v>
      </c>
    </row>
    <row r="11467" spans="1:6" hidden="1" x14ac:dyDescent="0.25">
      <c r="A11467" t="s">
        <v>704</v>
      </c>
      <c r="B11467" t="s">
        <v>442</v>
      </c>
      <c r="E11467" s="3">
        <f>HYPERLINK("https://sao.dolgi.msk.ru/account/1404292307/", 1404292307)</f>
        <v>1404292307</v>
      </c>
      <c r="F11467">
        <v>0</v>
      </c>
    </row>
    <row r="11468" spans="1:6" hidden="1" x14ac:dyDescent="0.25">
      <c r="A11468" t="s">
        <v>704</v>
      </c>
      <c r="B11468" t="s">
        <v>443</v>
      </c>
      <c r="E11468" s="3">
        <f>HYPERLINK("https://sao.dolgi.msk.ru/account/1404286126/", 1404286126)</f>
        <v>1404286126</v>
      </c>
      <c r="F11468">
        <v>-3494.29</v>
      </c>
    </row>
    <row r="11469" spans="1:6" hidden="1" x14ac:dyDescent="0.25">
      <c r="A11469" t="s">
        <v>704</v>
      </c>
      <c r="B11469" t="s">
        <v>444</v>
      </c>
      <c r="E11469" s="3">
        <f>HYPERLINK("https://sao.dolgi.msk.ru/account/1404287081/", 1404287081)</f>
        <v>1404287081</v>
      </c>
      <c r="F11469">
        <v>-1890.43</v>
      </c>
    </row>
    <row r="11470" spans="1:6" hidden="1" x14ac:dyDescent="0.25">
      <c r="A11470" t="s">
        <v>704</v>
      </c>
      <c r="B11470" t="s">
        <v>445</v>
      </c>
      <c r="E11470" s="3">
        <f>HYPERLINK("https://sao.dolgi.msk.ru/account/1404288404/", 1404288404)</f>
        <v>1404288404</v>
      </c>
      <c r="F11470">
        <v>-3358.05</v>
      </c>
    </row>
    <row r="11471" spans="1:6" x14ac:dyDescent="0.25">
      <c r="A11471" t="s">
        <v>704</v>
      </c>
      <c r="B11471" t="s">
        <v>446</v>
      </c>
      <c r="C11471" s="5" t="str">
        <f t="shared" ref="C11471:C11472" si="480">" кв. "&amp;B11471</f>
        <v xml:space="preserve"> кв. 428</v>
      </c>
      <c r="D11471" s="5" t="str">
        <f>CONCATENATE(A11471,C11471)</f>
        <v>Смольная ул., дом 61 к.1 кв. 428</v>
      </c>
      <c r="E11471" s="3">
        <f>HYPERLINK("https://sao.dolgi.msk.ru/account/1404286804/", 1404286804)</f>
        <v>1404286804</v>
      </c>
      <c r="F11471">
        <v>1777.61</v>
      </c>
    </row>
    <row r="11472" spans="1:6" x14ac:dyDescent="0.25">
      <c r="A11472" t="s">
        <v>704</v>
      </c>
      <c r="B11472" t="s">
        <v>447</v>
      </c>
      <c r="C11472" s="5" t="str">
        <f t="shared" si="480"/>
        <v xml:space="preserve"> кв. 429</v>
      </c>
      <c r="D11472" s="5" t="str">
        <f>CONCATENATE(A11472,C11472)</f>
        <v>Смольная ул., дом 61 к.1 кв. 429</v>
      </c>
      <c r="E11472" s="3">
        <f>HYPERLINK("https://sao.dolgi.msk.ru/account/1404293166/", 1404293166)</f>
        <v>1404293166</v>
      </c>
      <c r="F11472">
        <v>1749.14</v>
      </c>
    </row>
    <row r="11473" spans="1:6" hidden="1" x14ac:dyDescent="0.25">
      <c r="A11473" t="s">
        <v>704</v>
      </c>
      <c r="B11473" t="s">
        <v>448</v>
      </c>
      <c r="E11473" s="3">
        <f>HYPERLINK("https://sao.dolgi.msk.ru/account/1404288789/", 1404288789)</f>
        <v>1404288789</v>
      </c>
      <c r="F11473">
        <v>-2458.94</v>
      </c>
    </row>
    <row r="11474" spans="1:6" hidden="1" x14ac:dyDescent="0.25">
      <c r="A11474" t="s">
        <v>704</v>
      </c>
      <c r="B11474" t="s">
        <v>449</v>
      </c>
      <c r="E11474" s="3">
        <f>HYPERLINK("https://sao.dolgi.msk.ru/account/1404292649/", 1404292649)</f>
        <v>1404292649</v>
      </c>
      <c r="F11474">
        <v>-1867.31</v>
      </c>
    </row>
    <row r="11475" spans="1:6" hidden="1" x14ac:dyDescent="0.25">
      <c r="A11475" t="s">
        <v>704</v>
      </c>
      <c r="B11475" t="s">
        <v>450</v>
      </c>
      <c r="E11475" s="3">
        <f>HYPERLINK("https://sao.dolgi.msk.ru/account/1404290846/", 1404290846)</f>
        <v>1404290846</v>
      </c>
      <c r="F11475">
        <v>-2907.72</v>
      </c>
    </row>
    <row r="11476" spans="1:6" hidden="1" x14ac:dyDescent="0.25">
      <c r="A11476" t="s">
        <v>704</v>
      </c>
      <c r="B11476" t="s">
        <v>451</v>
      </c>
      <c r="E11476" s="3">
        <f>HYPERLINK("https://sao.dolgi.msk.ru/account/1404290213/", 1404290213)</f>
        <v>1404290213</v>
      </c>
      <c r="F11476">
        <v>-2523.66</v>
      </c>
    </row>
    <row r="11477" spans="1:6" hidden="1" x14ac:dyDescent="0.25">
      <c r="A11477" t="s">
        <v>704</v>
      </c>
      <c r="B11477" t="s">
        <v>452</v>
      </c>
      <c r="E11477" s="3">
        <f>HYPERLINK("https://sao.dolgi.msk.ru/account/1404287671/", 1404287671)</f>
        <v>1404287671</v>
      </c>
      <c r="F11477">
        <v>-2412.73</v>
      </c>
    </row>
    <row r="11478" spans="1:6" hidden="1" x14ac:dyDescent="0.25">
      <c r="A11478" t="s">
        <v>704</v>
      </c>
      <c r="B11478" t="s">
        <v>453</v>
      </c>
      <c r="E11478" s="3">
        <f>HYPERLINK("https://sao.dolgi.msk.ru/account/1404287532/", 1404287532)</f>
        <v>1404287532</v>
      </c>
      <c r="F11478">
        <v>-1807.23</v>
      </c>
    </row>
    <row r="11479" spans="1:6" hidden="1" x14ac:dyDescent="0.25">
      <c r="A11479" t="s">
        <v>704</v>
      </c>
      <c r="B11479" t="s">
        <v>454</v>
      </c>
      <c r="E11479" s="3">
        <f>HYPERLINK("https://sao.dolgi.msk.ru/account/1404293625/", 1404293625)</f>
        <v>1404293625</v>
      </c>
      <c r="F11479">
        <v>0</v>
      </c>
    </row>
    <row r="11480" spans="1:6" hidden="1" x14ac:dyDescent="0.25">
      <c r="A11480" t="s">
        <v>704</v>
      </c>
      <c r="B11480" t="s">
        <v>455</v>
      </c>
      <c r="E11480" s="3">
        <f>HYPERLINK("https://sao.dolgi.msk.ru/account/1404287874/", 1404287874)</f>
        <v>1404287874</v>
      </c>
      <c r="F11480">
        <v>-1747.15</v>
      </c>
    </row>
    <row r="11481" spans="1:6" hidden="1" x14ac:dyDescent="0.25">
      <c r="A11481" t="s">
        <v>704</v>
      </c>
      <c r="B11481" t="s">
        <v>456</v>
      </c>
      <c r="E11481" s="3">
        <f>HYPERLINK("https://sao.dolgi.msk.ru/account/1404292454/", 1404292454)</f>
        <v>1404292454</v>
      </c>
      <c r="F11481">
        <v>-2031.91</v>
      </c>
    </row>
    <row r="11482" spans="1:6" hidden="1" x14ac:dyDescent="0.25">
      <c r="A11482" t="s">
        <v>704</v>
      </c>
      <c r="B11482" t="s">
        <v>457</v>
      </c>
      <c r="E11482" s="3">
        <f>HYPERLINK("https://sao.dolgi.msk.ru/account/1404288578/", 1404288578)</f>
        <v>1404288578</v>
      </c>
      <c r="F11482">
        <v>-2786.96</v>
      </c>
    </row>
    <row r="11483" spans="1:6" x14ac:dyDescent="0.25">
      <c r="A11483" t="s">
        <v>704</v>
      </c>
      <c r="B11483" t="s">
        <v>458</v>
      </c>
      <c r="C11483" s="5" t="str">
        <f>" кв. "&amp;B11483</f>
        <v xml:space="preserve"> кв. 440</v>
      </c>
      <c r="D11483" s="5" t="str">
        <f>CONCATENATE(A11483,C11483)</f>
        <v>Смольная ул., дом 61 к.1 кв. 440</v>
      </c>
      <c r="E11483" s="3">
        <f>HYPERLINK("https://sao.dolgi.msk.ru/account/1404289087/", 1404289087)</f>
        <v>1404289087</v>
      </c>
      <c r="F11483">
        <v>2327.9699999999998</v>
      </c>
    </row>
    <row r="11484" spans="1:6" hidden="1" x14ac:dyDescent="0.25">
      <c r="A11484" t="s">
        <v>704</v>
      </c>
      <c r="B11484" t="s">
        <v>459</v>
      </c>
      <c r="E11484" s="3">
        <f>HYPERLINK("https://sao.dolgi.msk.ru/account/1404290117/", 1404290117)</f>
        <v>1404290117</v>
      </c>
      <c r="F11484">
        <v>-2528.2800000000002</v>
      </c>
    </row>
    <row r="11485" spans="1:6" hidden="1" x14ac:dyDescent="0.25">
      <c r="A11485" t="s">
        <v>704</v>
      </c>
      <c r="B11485" t="s">
        <v>460</v>
      </c>
      <c r="E11485" s="3">
        <f>HYPERLINK("https://sao.dolgi.msk.ru/account/1404287057/", 1404287057)</f>
        <v>1404287057</v>
      </c>
      <c r="F11485">
        <v>-519.44000000000005</v>
      </c>
    </row>
    <row r="11486" spans="1:6" hidden="1" x14ac:dyDescent="0.25">
      <c r="A11486" t="s">
        <v>704</v>
      </c>
      <c r="B11486" t="s">
        <v>461</v>
      </c>
      <c r="E11486" s="3">
        <f>HYPERLINK("https://sao.dolgi.msk.ru/account/1404289378/", 1404289378)</f>
        <v>1404289378</v>
      </c>
      <c r="F11486">
        <v>-1811.86</v>
      </c>
    </row>
    <row r="11487" spans="1:6" hidden="1" x14ac:dyDescent="0.25">
      <c r="A11487" t="s">
        <v>704</v>
      </c>
      <c r="B11487" t="s">
        <v>462</v>
      </c>
      <c r="E11487" s="3">
        <f>HYPERLINK("https://sao.dolgi.msk.ru/account/1404287567/", 1404287567)</f>
        <v>1404287567</v>
      </c>
      <c r="F11487">
        <v>-3397.23</v>
      </c>
    </row>
    <row r="11488" spans="1:6" hidden="1" x14ac:dyDescent="0.25">
      <c r="A11488" t="s">
        <v>704</v>
      </c>
      <c r="B11488" t="s">
        <v>463</v>
      </c>
      <c r="E11488" s="3">
        <f>HYPERLINK("https://sao.dolgi.msk.ru/account/1404292016/", 1404292016)</f>
        <v>1404292016</v>
      </c>
      <c r="F11488">
        <v>-2514.41</v>
      </c>
    </row>
    <row r="11489" spans="1:6" hidden="1" x14ac:dyDescent="0.25">
      <c r="A11489" t="s">
        <v>704</v>
      </c>
      <c r="B11489" t="s">
        <v>464</v>
      </c>
      <c r="E11489" s="3">
        <f>HYPERLINK("https://sao.dolgi.msk.ru/account/1404287153/", 1404287153)</f>
        <v>1404287153</v>
      </c>
      <c r="F11489">
        <v>0</v>
      </c>
    </row>
    <row r="11490" spans="1:6" hidden="1" x14ac:dyDescent="0.25">
      <c r="A11490" t="s">
        <v>704</v>
      </c>
      <c r="B11490" t="s">
        <v>465</v>
      </c>
      <c r="E11490" s="3">
        <f>HYPERLINK("https://sao.dolgi.msk.ru/account/1404286652/", 1404286652)</f>
        <v>1404286652</v>
      </c>
      <c r="F11490">
        <v>0</v>
      </c>
    </row>
    <row r="11491" spans="1:6" hidden="1" x14ac:dyDescent="0.25">
      <c r="A11491" t="s">
        <v>704</v>
      </c>
      <c r="B11491" t="s">
        <v>466</v>
      </c>
      <c r="E11491" s="3">
        <f>HYPERLINK("https://sao.dolgi.msk.ru/account/1404289132/", 1404289132)</f>
        <v>1404289132</v>
      </c>
      <c r="F11491">
        <v>-2629.96</v>
      </c>
    </row>
    <row r="11492" spans="1:6" x14ac:dyDescent="0.25">
      <c r="A11492" t="s">
        <v>704</v>
      </c>
      <c r="B11492" t="s">
        <v>467</v>
      </c>
      <c r="C11492" s="5" t="str">
        <f>" кв. "&amp;B11492</f>
        <v xml:space="preserve"> кв. 449</v>
      </c>
      <c r="D11492" s="5" t="str">
        <f>CONCATENATE(A11492,C11492)</f>
        <v>Смольная ул., дом 61 к.1 кв. 449</v>
      </c>
      <c r="E11492" s="3">
        <f>HYPERLINK("https://sao.dolgi.msk.ru/account/1404288965/", 1404288965)</f>
        <v>1404288965</v>
      </c>
      <c r="F11492">
        <v>1720.67</v>
      </c>
    </row>
    <row r="11493" spans="1:6" hidden="1" x14ac:dyDescent="0.25">
      <c r="A11493" t="s">
        <v>704</v>
      </c>
      <c r="B11493" t="s">
        <v>468</v>
      </c>
      <c r="E11493" s="3">
        <f>HYPERLINK("https://sao.dolgi.msk.ru/account/1404287735/", 1404287735)</f>
        <v>1404287735</v>
      </c>
      <c r="F11493">
        <v>-1626.97</v>
      </c>
    </row>
    <row r="11494" spans="1:6" hidden="1" x14ac:dyDescent="0.25">
      <c r="A11494" t="s">
        <v>704</v>
      </c>
      <c r="B11494" t="s">
        <v>469</v>
      </c>
      <c r="E11494" s="3">
        <f>HYPERLINK("https://sao.dolgi.msk.ru/account/1404292681/", 1404292681)</f>
        <v>1404292681</v>
      </c>
      <c r="F11494">
        <v>-1316.49</v>
      </c>
    </row>
    <row r="11495" spans="1:6" hidden="1" x14ac:dyDescent="0.25">
      <c r="A11495" t="s">
        <v>704</v>
      </c>
      <c r="B11495" t="s">
        <v>470</v>
      </c>
      <c r="E11495" s="3">
        <f>HYPERLINK("https://sao.dolgi.msk.ru/account/1404288332/", 1404288332)</f>
        <v>1404288332</v>
      </c>
      <c r="F11495">
        <v>-3383.36</v>
      </c>
    </row>
    <row r="11496" spans="1:6" hidden="1" x14ac:dyDescent="0.25">
      <c r="A11496" t="s">
        <v>704</v>
      </c>
      <c r="B11496" t="s">
        <v>471</v>
      </c>
      <c r="E11496" s="3">
        <f>HYPERLINK("https://sao.dolgi.msk.ru/account/1404286986/", 1404286986)</f>
        <v>1404286986</v>
      </c>
      <c r="F11496">
        <v>-2528.2800000000002</v>
      </c>
    </row>
    <row r="11497" spans="1:6" hidden="1" x14ac:dyDescent="0.25">
      <c r="A11497" t="s">
        <v>704</v>
      </c>
      <c r="B11497" t="s">
        <v>472</v>
      </c>
      <c r="E11497" s="3">
        <f>HYPERLINK("https://sao.dolgi.msk.ru/account/1404290491/", 1404290491)</f>
        <v>1404290491</v>
      </c>
      <c r="F11497">
        <v>0</v>
      </c>
    </row>
    <row r="11498" spans="1:6" hidden="1" x14ac:dyDescent="0.25">
      <c r="A11498" t="s">
        <v>704</v>
      </c>
      <c r="B11498" t="s">
        <v>473</v>
      </c>
      <c r="E11498" s="3">
        <f>HYPERLINK("https://sao.dolgi.msk.ru/account/1404287065/", 1404287065)</f>
        <v>1404287065</v>
      </c>
      <c r="F11498">
        <v>0</v>
      </c>
    </row>
    <row r="11499" spans="1:6" hidden="1" x14ac:dyDescent="0.25">
      <c r="A11499" t="s">
        <v>704</v>
      </c>
      <c r="B11499" t="s">
        <v>474</v>
      </c>
      <c r="E11499" s="3">
        <f>HYPERLINK("https://sao.dolgi.msk.ru/account/1404292702/", 1404292702)</f>
        <v>1404292702</v>
      </c>
      <c r="F11499">
        <v>-2861.03</v>
      </c>
    </row>
    <row r="11500" spans="1:6" hidden="1" x14ac:dyDescent="0.25">
      <c r="A11500" t="s">
        <v>704</v>
      </c>
      <c r="B11500" t="s">
        <v>475</v>
      </c>
      <c r="E11500" s="3">
        <f>HYPERLINK("https://sao.dolgi.msk.ru/account/1404287399/", 1404287399)</f>
        <v>1404287399</v>
      </c>
      <c r="F11500">
        <v>-2523.66</v>
      </c>
    </row>
    <row r="11501" spans="1:6" hidden="1" x14ac:dyDescent="0.25">
      <c r="A11501" t="s">
        <v>704</v>
      </c>
      <c r="B11501" t="s">
        <v>476</v>
      </c>
      <c r="E11501" s="3">
        <f>HYPERLINK("https://sao.dolgi.msk.ru/account/1404287938/", 1404287938)</f>
        <v>1404287938</v>
      </c>
      <c r="F11501">
        <v>-1510.01</v>
      </c>
    </row>
    <row r="11502" spans="1:6" hidden="1" x14ac:dyDescent="0.25">
      <c r="A11502" t="s">
        <v>704</v>
      </c>
      <c r="B11502" t="s">
        <v>477</v>
      </c>
      <c r="E11502" s="3">
        <f>HYPERLINK("https://sao.dolgi.msk.ru/account/1404286441/", 1404286441)</f>
        <v>1404286441</v>
      </c>
      <c r="F11502">
        <v>-905.93</v>
      </c>
    </row>
    <row r="11503" spans="1:6" hidden="1" x14ac:dyDescent="0.25">
      <c r="A11503" t="s">
        <v>704</v>
      </c>
      <c r="B11503" t="s">
        <v>478</v>
      </c>
      <c r="E11503" s="3">
        <f>HYPERLINK("https://sao.dolgi.msk.ru/account/1404289044/", 1404289044)</f>
        <v>1404289044</v>
      </c>
      <c r="F11503">
        <v>-2398.4499999999998</v>
      </c>
    </row>
    <row r="11504" spans="1:6" x14ac:dyDescent="0.25">
      <c r="A11504" t="s">
        <v>704</v>
      </c>
      <c r="B11504" t="s">
        <v>479</v>
      </c>
      <c r="C11504" s="5" t="str">
        <f t="shared" ref="C11504:C11505" si="481">" кв. "&amp;B11504</f>
        <v xml:space="preserve"> кв. 461</v>
      </c>
      <c r="D11504" s="5" t="str">
        <f>CONCATENATE(A11504,C11504)</f>
        <v>Смольная ул., дом 61 к.1 кв. 461</v>
      </c>
      <c r="E11504" s="3">
        <f>HYPERLINK("https://sao.dolgi.msk.ru/account/1404286505/", 1404286505)</f>
        <v>1404286505</v>
      </c>
      <c r="F11504">
        <v>1727</v>
      </c>
    </row>
    <row r="11505" spans="1:6" x14ac:dyDescent="0.25">
      <c r="A11505" t="s">
        <v>704</v>
      </c>
      <c r="B11505" t="s">
        <v>480</v>
      </c>
      <c r="C11505" s="5" t="str">
        <f t="shared" si="481"/>
        <v xml:space="preserve"> кв. 462</v>
      </c>
      <c r="D11505" s="5" t="str">
        <f>CONCATENATE(A11505,C11505)</f>
        <v>Смольная ул., дом 61 к.1 кв. 462</v>
      </c>
      <c r="E11505" s="3">
        <f>HYPERLINK("https://sao.dolgi.msk.ru/account/1404291355/", 1404291355)</f>
        <v>1404291355</v>
      </c>
      <c r="F11505">
        <v>1657.41</v>
      </c>
    </row>
    <row r="11506" spans="1:6" hidden="1" x14ac:dyDescent="0.25">
      <c r="A11506" t="s">
        <v>704</v>
      </c>
      <c r="B11506" t="s">
        <v>481</v>
      </c>
      <c r="E11506" s="3">
        <f>HYPERLINK("https://sao.dolgi.msk.ru/account/1404286564/", 1404286564)</f>
        <v>1404286564</v>
      </c>
      <c r="F11506">
        <v>-1811.86</v>
      </c>
    </row>
    <row r="11507" spans="1:6" hidden="1" x14ac:dyDescent="0.25">
      <c r="A11507" t="s">
        <v>704</v>
      </c>
      <c r="B11507" t="s">
        <v>482</v>
      </c>
      <c r="E11507" s="3">
        <f>HYPERLINK("https://sao.dolgi.msk.ru/account/1404289554/", 1404289554)</f>
        <v>1404289554</v>
      </c>
      <c r="F11507">
        <v>-2582.9499999999998</v>
      </c>
    </row>
    <row r="11508" spans="1:6" hidden="1" x14ac:dyDescent="0.25">
      <c r="A11508" t="s">
        <v>704</v>
      </c>
      <c r="B11508" t="s">
        <v>483</v>
      </c>
      <c r="E11508" s="3">
        <f>HYPERLINK("https://sao.dolgi.msk.ru/account/1404290715/", 1404290715)</f>
        <v>1404290715</v>
      </c>
      <c r="F11508">
        <v>-2528.2800000000002</v>
      </c>
    </row>
    <row r="11509" spans="1:6" hidden="1" x14ac:dyDescent="0.25">
      <c r="A11509" t="s">
        <v>704</v>
      </c>
      <c r="B11509" t="s">
        <v>484</v>
      </c>
      <c r="E11509" s="3">
        <f>HYPERLINK("https://sao.dolgi.msk.ru/account/1404287102/", 1404287102)</f>
        <v>1404287102</v>
      </c>
      <c r="F11509">
        <v>-1659.33</v>
      </c>
    </row>
    <row r="11510" spans="1:6" x14ac:dyDescent="0.25">
      <c r="A11510" t="s">
        <v>704</v>
      </c>
      <c r="B11510" t="s">
        <v>485</v>
      </c>
      <c r="C11510" s="5" t="str">
        <f t="shared" ref="C11510:C11511" si="482">" кв. "&amp;B11510</f>
        <v xml:space="preserve"> кв. 467</v>
      </c>
      <c r="D11510" s="5" t="str">
        <f>CONCATENATE(A11510,C11510)</f>
        <v>Смольная ул., дом 61 к.1 кв. 467</v>
      </c>
      <c r="E11510" s="3">
        <f>HYPERLINK("https://sao.dolgi.msk.ru/account/1404288885/", 1404288885)</f>
        <v>1404288885</v>
      </c>
      <c r="F11510">
        <v>1252.55</v>
      </c>
    </row>
    <row r="11511" spans="1:6" x14ac:dyDescent="0.25">
      <c r="A11511" t="s">
        <v>704</v>
      </c>
      <c r="B11511" t="s">
        <v>486</v>
      </c>
      <c r="C11511" s="5" t="str">
        <f t="shared" si="482"/>
        <v xml:space="preserve"> кв. 468</v>
      </c>
      <c r="D11511" s="5" t="str">
        <f>CONCATENATE(A11511,C11511)</f>
        <v>Смольная ул., дом 61 к.1 кв. 468</v>
      </c>
      <c r="E11511" s="3">
        <f>HYPERLINK("https://sao.dolgi.msk.ru/account/1404287727/", 1404287727)</f>
        <v>1404287727</v>
      </c>
      <c r="F11511">
        <v>1666.9</v>
      </c>
    </row>
    <row r="11512" spans="1:6" hidden="1" x14ac:dyDescent="0.25">
      <c r="A11512" t="s">
        <v>704</v>
      </c>
      <c r="B11512" t="s">
        <v>487</v>
      </c>
      <c r="E11512" s="3">
        <f>HYPERLINK("https://sao.dolgi.msk.ru/account/1404292833/", 1404292833)</f>
        <v>1404292833</v>
      </c>
      <c r="F11512">
        <v>-2528.2800000000002</v>
      </c>
    </row>
    <row r="11513" spans="1:6" hidden="1" x14ac:dyDescent="0.25">
      <c r="A11513" t="s">
        <v>704</v>
      </c>
      <c r="B11513" t="s">
        <v>488</v>
      </c>
      <c r="E11513" s="3">
        <f>HYPERLINK("https://sao.dolgi.msk.ru/account/1404288746/", 1404288746)</f>
        <v>1404288746</v>
      </c>
      <c r="F11513">
        <v>-1659.33</v>
      </c>
    </row>
    <row r="11514" spans="1:6" hidden="1" x14ac:dyDescent="0.25">
      <c r="A11514" t="s">
        <v>704</v>
      </c>
      <c r="B11514" t="s">
        <v>489</v>
      </c>
      <c r="E11514" s="3">
        <f>HYPERLINK("https://sao.dolgi.msk.ru/account/1404290432/", 1404290432)</f>
        <v>1404290432</v>
      </c>
      <c r="F11514">
        <v>-1825.73</v>
      </c>
    </row>
    <row r="11515" spans="1:6" x14ac:dyDescent="0.25">
      <c r="A11515" t="s">
        <v>704</v>
      </c>
      <c r="B11515" t="s">
        <v>490</v>
      </c>
      <c r="C11515" s="5" t="str">
        <f>" кв. "&amp;B11515</f>
        <v xml:space="preserve"> кв. 472</v>
      </c>
      <c r="D11515" s="5" t="str">
        <f>CONCATENATE(A11515,C11515)</f>
        <v>Смольная ул., дом 61 к.1 кв. 472</v>
      </c>
      <c r="E11515" s="3">
        <f>HYPERLINK("https://sao.dolgi.msk.ru/account/1404288121/", 1404288121)</f>
        <v>1404288121</v>
      </c>
      <c r="F11515">
        <v>2331.13</v>
      </c>
    </row>
    <row r="11516" spans="1:6" hidden="1" x14ac:dyDescent="0.25">
      <c r="A11516" t="s">
        <v>704</v>
      </c>
      <c r="B11516" t="s">
        <v>491</v>
      </c>
      <c r="E11516" s="3">
        <f>HYPERLINK("https://sao.dolgi.msk.ru/account/1404290328/", 1404290328)</f>
        <v>1404290328</v>
      </c>
      <c r="F11516">
        <v>-2523.66</v>
      </c>
    </row>
    <row r="11517" spans="1:6" hidden="1" x14ac:dyDescent="0.25">
      <c r="A11517" t="s">
        <v>704</v>
      </c>
      <c r="B11517" t="s">
        <v>492</v>
      </c>
      <c r="E11517" s="3">
        <f>HYPERLINK("https://sao.dolgi.msk.ru/account/1404286812/", 1404286812)</f>
        <v>1404286812</v>
      </c>
      <c r="F11517">
        <v>0</v>
      </c>
    </row>
    <row r="11518" spans="1:6" hidden="1" x14ac:dyDescent="0.25">
      <c r="A11518" t="s">
        <v>704</v>
      </c>
      <c r="B11518" t="s">
        <v>493</v>
      </c>
      <c r="E11518" s="3">
        <f>HYPERLINK("https://sao.dolgi.msk.ru/account/1404288455/", 1404288455)</f>
        <v>1404288455</v>
      </c>
      <c r="F11518">
        <v>-1830.35</v>
      </c>
    </row>
    <row r="11519" spans="1:6" hidden="1" x14ac:dyDescent="0.25">
      <c r="A11519" t="s">
        <v>704</v>
      </c>
      <c r="B11519" t="s">
        <v>494</v>
      </c>
      <c r="E11519" s="3">
        <f>HYPERLINK("https://sao.dolgi.msk.ru/account/1404288498/", 1404288498)</f>
        <v>1404288498</v>
      </c>
      <c r="F11519">
        <v>0</v>
      </c>
    </row>
    <row r="11520" spans="1:6" hidden="1" x14ac:dyDescent="0.25">
      <c r="A11520" t="s">
        <v>704</v>
      </c>
      <c r="B11520" t="s">
        <v>494</v>
      </c>
      <c r="E11520" s="3">
        <f>HYPERLINK("https://sao.dolgi.msk.ru/account/1404289626/", 1404289626)</f>
        <v>1404289626</v>
      </c>
      <c r="F11520">
        <v>0</v>
      </c>
    </row>
    <row r="11521" spans="1:6" hidden="1" x14ac:dyDescent="0.25">
      <c r="A11521" t="s">
        <v>704</v>
      </c>
      <c r="B11521" t="s">
        <v>495</v>
      </c>
      <c r="E11521" s="3">
        <f>HYPERLINK("https://sao.dolgi.msk.ru/account/1404289001/", 1404289001)</f>
        <v>1404289001</v>
      </c>
      <c r="F11521">
        <v>-2056.0100000000002</v>
      </c>
    </row>
    <row r="11522" spans="1:6" x14ac:dyDescent="0.25">
      <c r="A11522" t="s">
        <v>704</v>
      </c>
      <c r="B11522" t="s">
        <v>496</v>
      </c>
      <c r="C11522" s="5" t="str">
        <f>" кв. "&amp;B11522</f>
        <v xml:space="preserve"> кв. 478</v>
      </c>
      <c r="D11522" s="5" t="str">
        <f>CONCATENATE(A11522,C11522)</f>
        <v>Смольная ул., дом 61 к.1 кв. 478</v>
      </c>
      <c r="E11522" s="3">
        <f>HYPERLINK("https://sao.dolgi.msk.ru/account/1404286644/", 1404286644)</f>
        <v>1404286644</v>
      </c>
      <c r="F11522">
        <v>1654.25</v>
      </c>
    </row>
    <row r="11523" spans="1:6" hidden="1" x14ac:dyDescent="0.25">
      <c r="A11523" t="s">
        <v>704</v>
      </c>
      <c r="B11523" t="s">
        <v>497</v>
      </c>
      <c r="E11523" s="3">
        <f>HYPERLINK("https://sao.dolgi.msk.ru/account/1404288682/", 1404288682)</f>
        <v>1404288682</v>
      </c>
      <c r="F11523">
        <v>-1839.57</v>
      </c>
    </row>
    <row r="11524" spans="1:6" x14ac:dyDescent="0.25">
      <c r="A11524" t="s">
        <v>704</v>
      </c>
      <c r="B11524" t="s">
        <v>498</v>
      </c>
      <c r="C11524" s="5" t="str">
        <f>" кв. "&amp;B11524</f>
        <v xml:space="preserve"> кв. 480</v>
      </c>
      <c r="D11524" s="5" t="str">
        <f>CONCATENATE(A11524,C11524)</f>
        <v>Смольная ул., дом 61 к.1 кв. 480</v>
      </c>
      <c r="E11524" s="3">
        <f>HYPERLINK("https://sao.dolgi.msk.ru/account/1404291726/", 1404291726)</f>
        <v>1404291726</v>
      </c>
      <c r="F11524">
        <v>2337.46</v>
      </c>
    </row>
    <row r="11525" spans="1:6" hidden="1" x14ac:dyDescent="0.25">
      <c r="A11525" t="s">
        <v>704</v>
      </c>
      <c r="B11525" t="s">
        <v>499</v>
      </c>
      <c r="E11525" s="3">
        <f>HYPERLINK("https://sao.dolgi.msk.ru/account/1404292884/", 1404292884)</f>
        <v>1404292884</v>
      </c>
      <c r="F11525">
        <v>-1892.75</v>
      </c>
    </row>
    <row r="11526" spans="1:6" hidden="1" x14ac:dyDescent="0.25">
      <c r="A11526" t="s">
        <v>704</v>
      </c>
      <c r="B11526" t="s">
        <v>500</v>
      </c>
      <c r="E11526" s="3">
        <f>HYPERLINK("https://sao.dolgi.msk.ru/account/1404292331/", 1404292331)</f>
        <v>1404292331</v>
      </c>
      <c r="F11526">
        <v>-2426.6</v>
      </c>
    </row>
    <row r="11527" spans="1:6" hidden="1" x14ac:dyDescent="0.25">
      <c r="A11527" t="s">
        <v>704</v>
      </c>
      <c r="B11527" t="s">
        <v>501</v>
      </c>
      <c r="E11527" s="3">
        <f>HYPERLINK("https://sao.dolgi.msk.ru/account/1404290547/", 1404290547)</f>
        <v>1404290547</v>
      </c>
      <c r="F11527">
        <v>-1821.1</v>
      </c>
    </row>
    <row r="11528" spans="1:6" hidden="1" x14ac:dyDescent="0.25">
      <c r="A11528" t="s">
        <v>704</v>
      </c>
      <c r="B11528" t="s">
        <v>502</v>
      </c>
      <c r="E11528" s="3">
        <f>HYPERLINK("https://sao.dolgi.msk.ru/account/1404290782/", 1404290782)</f>
        <v>1404290782</v>
      </c>
      <c r="F11528">
        <v>0</v>
      </c>
    </row>
    <row r="11529" spans="1:6" hidden="1" x14ac:dyDescent="0.25">
      <c r="A11529" t="s">
        <v>704</v>
      </c>
      <c r="B11529" t="s">
        <v>503</v>
      </c>
      <c r="E11529" s="3">
        <f>HYPERLINK("https://sao.dolgi.msk.ru/account/1404287903/", 1404287903)</f>
        <v>1404287903</v>
      </c>
      <c r="F11529">
        <v>-2532.88</v>
      </c>
    </row>
    <row r="11530" spans="1:6" hidden="1" x14ac:dyDescent="0.25">
      <c r="A11530" t="s">
        <v>704</v>
      </c>
      <c r="B11530" t="s">
        <v>504</v>
      </c>
      <c r="E11530" s="3">
        <f>HYPERLINK("https://sao.dolgi.msk.ru/account/1404292948/", 1404292948)</f>
        <v>1404292948</v>
      </c>
      <c r="F11530">
        <v>-381.56</v>
      </c>
    </row>
    <row r="11531" spans="1:6" hidden="1" x14ac:dyDescent="0.25">
      <c r="A11531" t="s">
        <v>704</v>
      </c>
      <c r="B11531" t="s">
        <v>505</v>
      </c>
      <c r="E11531" s="3">
        <f>HYPERLINK("https://sao.dolgi.msk.ru/account/1404291814/", 1404291814)</f>
        <v>1404291814</v>
      </c>
      <c r="F11531">
        <v>-1821.1</v>
      </c>
    </row>
    <row r="11532" spans="1:6" hidden="1" x14ac:dyDescent="0.25">
      <c r="A11532" t="s">
        <v>704</v>
      </c>
      <c r="B11532" t="s">
        <v>506</v>
      </c>
      <c r="E11532" s="3">
        <f>HYPERLINK("https://sao.dolgi.msk.ru/account/1404286847/", 1404286847)</f>
        <v>1404286847</v>
      </c>
      <c r="F11532">
        <v>-3411.09</v>
      </c>
    </row>
    <row r="11533" spans="1:6" x14ac:dyDescent="0.25">
      <c r="A11533" t="s">
        <v>704</v>
      </c>
      <c r="B11533" t="s">
        <v>507</v>
      </c>
      <c r="C11533" s="5" t="str">
        <f>" кв. "&amp;B11533</f>
        <v xml:space="preserve"> кв. 489</v>
      </c>
      <c r="D11533" s="5" t="str">
        <f>CONCATENATE(A11533,C11533)</f>
        <v>Смольная ул., дом 61 к.1 кв. 489</v>
      </c>
      <c r="E11533" s="3">
        <f>HYPERLINK("https://sao.dolgi.msk.ru/account/1404288148/", 1404288148)</f>
        <v>1404288148</v>
      </c>
      <c r="F11533">
        <v>1730.16</v>
      </c>
    </row>
    <row r="11534" spans="1:6" hidden="1" x14ac:dyDescent="0.25">
      <c r="A11534" t="s">
        <v>704</v>
      </c>
      <c r="B11534" t="s">
        <v>508</v>
      </c>
      <c r="E11534" s="3">
        <f>HYPERLINK("https://sao.dolgi.msk.ru/account/1404288156/", 1404288156)</f>
        <v>1404288156</v>
      </c>
      <c r="F11534">
        <v>-2417.35</v>
      </c>
    </row>
    <row r="11535" spans="1:6" hidden="1" x14ac:dyDescent="0.25">
      <c r="A11535" t="s">
        <v>704</v>
      </c>
      <c r="B11535" t="s">
        <v>509</v>
      </c>
      <c r="E11535" s="3">
        <f>HYPERLINK("https://sao.dolgi.msk.ru/account/1404289466/", 1404289466)</f>
        <v>1404289466</v>
      </c>
      <c r="F11535">
        <v>-1825.73</v>
      </c>
    </row>
    <row r="11536" spans="1:6" x14ac:dyDescent="0.25">
      <c r="A11536" t="s">
        <v>704</v>
      </c>
      <c r="B11536" t="s">
        <v>510</v>
      </c>
      <c r="C11536" s="5" t="str">
        <f>" кв. "&amp;B11536</f>
        <v xml:space="preserve"> кв. 492</v>
      </c>
      <c r="D11536" s="5" t="str">
        <f>CONCATENATE(A11536,C11536)</f>
        <v>Смольная ул., дом 61 к.1 кв. 492</v>
      </c>
      <c r="E11536" s="3">
        <f>HYPERLINK("https://sao.dolgi.msk.ru/account/1404293051/", 1404293051)</f>
        <v>1404293051</v>
      </c>
      <c r="F11536">
        <v>2334.29</v>
      </c>
    </row>
    <row r="11537" spans="1:6" hidden="1" x14ac:dyDescent="0.25">
      <c r="A11537" t="s">
        <v>704</v>
      </c>
      <c r="B11537" t="s">
        <v>511</v>
      </c>
      <c r="E11537" s="3">
        <f>HYPERLINK("https://sao.dolgi.msk.ru/account/1404289976/", 1404289976)</f>
        <v>1404289976</v>
      </c>
      <c r="F11537">
        <v>-2523.66</v>
      </c>
    </row>
    <row r="11538" spans="1:6" hidden="1" x14ac:dyDescent="0.25">
      <c r="A11538" t="s">
        <v>704</v>
      </c>
      <c r="B11538" t="s">
        <v>512</v>
      </c>
      <c r="E11538" s="3">
        <f>HYPERLINK("https://sao.dolgi.msk.ru/account/1404291312/", 1404291312)</f>
        <v>1404291312</v>
      </c>
      <c r="F11538">
        <v>-2421.9699999999998</v>
      </c>
    </row>
    <row r="11539" spans="1:6" hidden="1" x14ac:dyDescent="0.25">
      <c r="A11539" t="s">
        <v>704</v>
      </c>
      <c r="B11539" t="s">
        <v>513</v>
      </c>
      <c r="E11539" s="3">
        <f>HYPERLINK("https://sao.dolgi.msk.ru/account/1404288631/", 1404288631)</f>
        <v>1404288631</v>
      </c>
      <c r="F11539">
        <v>-288.89999999999998</v>
      </c>
    </row>
    <row r="11540" spans="1:6" hidden="1" x14ac:dyDescent="0.25">
      <c r="A11540" t="s">
        <v>704</v>
      </c>
      <c r="B11540" t="s">
        <v>514</v>
      </c>
      <c r="E11540" s="3">
        <f>HYPERLINK("https://sao.dolgi.msk.ru/account/1404286791/", 1404286791)</f>
        <v>1404286791</v>
      </c>
      <c r="F11540">
        <v>-2657.7</v>
      </c>
    </row>
    <row r="11541" spans="1:6" hidden="1" x14ac:dyDescent="0.25">
      <c r="A11541" t="s">
        <v>704</v>
      </c>
      <c r="B11541" t="s">
        <v>515</v>
      </c>
      <c r="E11541" s="3">
        <f>HYPERLINK("https://sao.dolgi.msk.ru/account/1404291443/", 1404291443)</f>
        <v>1404291443</v>
      </c>
      <c r="F11541">
        <v>0</v>
      </c>
    </row>
    <row r="11542" spans="1:6" x14ac:dyDescent="0.25">
      <c r="A11542" t="s">
        <v>704</v>
      </c>
      <c r="B11542" t="s">
        <v>516</v>
      </c>
      <c r="C11542" s="5" t="str">
        <f t="shared" ref="C11542:C11543" si="483">" кв. "&amp;B11542</f>
        <v xml:space="preserve"> кв. 498</v>
      </c>
      <c r="D11542" s="5" t="str">
        <f>CONCATENATE(A11542,C11542)</f>
        <v>Смольная ул., дом 61 к.1 кв. 498</v>
      </c>
      <c r="E11542" s="3">
        <f>HYPERLINK("https://sao.dolgi.msk.ru/account/1404288738/", 1404288738)</f>
        <v>1404288738</v>
      </c>
      <c r="F11542">
        <v>1660.58</v>
      </c>
    </row>
    <row r="11543" spans="1:6" x14ac:dyDescent="0.25">
      <c r="A11543" t="s">
        <v>704</v>
      </c>
      <c r="B11543" t="s">
        <v>517</v>
      </c>
      <c r="C11543" s="5" t="str">
        <f t="shared" si="483"/>
        <v xml:space="preserve"> кв. 499</v>
      </c>
      <c r="D11543" s="5" t="str">
        <f>CONCATENATE(A11543,C11543)</f>
        <v>Смольная ул., дом 61 к.1 кв. 499</v>
      </c>
      <c r="E11543" s="3">
        <f>HYPERLINK("https://sao.dolgi.msk.ru/account/1404292868/", 1404292868)</f>
        <v>1404292868</v>
      </c>
      <c r="F11543">
        <v>1249.3900000000001</v>
      </c>
    </row>
    <row r="11544" spans="1:6" hidden="1" x14ac:dyDescent="0.25">
      <c r="A11544" t="s">
        <v>704</v>
      </c>
      <c r="B11544" t="s">
        <v>518</v>
      </c>
      <c r="E11544" s="3">
        <f>HYPERLINK("https://sao.dolgi.msk.ru/account/1404288623/", 1404288623)</f>
        <v>1404288623</v>
      </c>
      <c r="F11544">
        <v>-3415.72</v>
      </c>
    </row>
    <row r="11545" spans="1:6" hidden="1" x14ac:dyDescent="0.25">
      <c r="A11545" t="s">
        <v>704</v>
      </c>
      <c r="B11545" t="s">
        <v>519</v>
      </c>
      <c r="E11545" s="3">
        <f>HYPERLINK("https://sao.dolgi.msk.ru/account/1404290061/", 1404290061)</f>
        <v>1404290061</v>
      </c>
      <c r="F11545">
        <v>-1784.11</v>
      </c>
    </row>
    <row r="11546" spans="1:6" hidden="1" x14ac:dyDescent="0.25">
      <c r="A11546" t="s">
        <v>704</v>
      </c>
      <c r="B11546" t="s">
        <v>520</v>
      </c>
      <c r="E11546" s="3">
        <f>HYPERLINK("https://sao.dolgi.msk.ru/account/1404293633/", 1404293633)</f>
        <v>1404293633</v>
      </c>
      <c r="F11546">
        <v>-2421.9699999999998</v>
      </c>
    </row>
    <row r="11547" spans="1:6" hidden="1" x14ac:dyDescent="0.25">
      <c r="A11547" t="s">
        <v>704</v>
      </c>
      <c r="B11547" t="s">
        <v>521</v>
      </c>
      <c r="E11547" s="3">
        <f>HYPERLINK("https://sao.dolgi.msk.ru/account/1404293326/", 1404293326)</f>
        <v>1404293326</v>
      </c>
      <c r="F11547">
        <v>0</v>
      </c>
    </row>
    <row r="11548" spans="1:6" hidden="1" x14ac:dyDescent="0.25">
      <c r="A11548" t="s">
        <v>704</v>
      </c>
      <c r="B11548" t="s">
        <v>522</v>
      </c>
      <c r="E11548" s="3">
        <f>HYPERLINK("https://sao.dolgi.msk.ru/account/1404288017/", 1404288017)</f>
        <v>1404288017</v>
      </c>
      <c r="F11548">
        <v>-3411.09</v>
      </c>
    </row>
    <row r="11549" spans="1:6" hidden="1" x14ac:dyDescent="0.25">
      <c r="A11549" t="s">
        <v>704</v>
      </c>
      <c r="B11549" t="s">
        <v>523</v>
      </c>
      <c r="E11549" s="3">
        <f>HYPERLINK("https://sao.dolgi.msk.ru/account/1404293342/", 1404293342)</f>
        <v>1404293342</v>
      </c>
      <c r="F11549">
        <v>-2556</v>
      </c>
    </row>
    <row r="11550" spans="1:6" hidden="1" x14ac:dyDescent="0.25">
      <c r="A11550" t="s">
        <v>704</v>
      </c>
      <c r="B11550" t="s">
        <v>524</v>
      </c>
      <c r="E11550" s="3">
        <f>HYPERLINK("https://sao.dolgi.msk.ru/account/1404288754/", 1404288754)</f>
        <v>1404288754</v>
      </c>
      <c r="F11550">
        <v>-2195.08</v>
      </c>
    </row>
    <row r="11551" spans="1:6" x14ac:dyDescent="0.25">
      <c r="A11551" t="s">
        <v>704</v>
      </c>
      <c r="B11551" t="s">
        <v>525</v>
      </c>
      <c r="C11551" s="5" t="str">
        <f t="shared" ref="C11551:C11552" si="484">" кв. "&amp;B11551</f>
        <v xml:space="preserve"> кв. 507</v>
      </c>
      <c r="D11551" s="5" t="str">
        <f>CONCATENATE(A11551,C11551)</f>
        <v>Смольная ул., дом 61 к.1 кв. 507</v>
      </c>
      <c r="E11551" s="3">
        <f>HYPERLINK("https://sao.dolgi.msk.ru/account/1404290221/", 1404290221)</f>
        <v>1404290221</v>
      </c>
      <c r="F11551">
        <v>1262.04</v>
      </c>
    </row>
    <row r="11552" spans="1:6" x14ac:dyDescent="0.25">
      <c r="A11552" t="s">
        <v>704</v>
      </c>
      <c r="B11552" t="s">
        <v>526</v>
      </c>
      <c r="C11552" s="5" t="str">
        <f t="shared" si="484"/>
        <v xml:space="preserve"> кв. 508</v>
      </c>
      <c r="D11552" s="5" t="str">
        <f>CONCATENATE(A11552,C11552)</f>
        <v>Смольная ул., дом 61 к.1 кв. 508</v>
      </c>
      <c r="E11552" s="3">
        <f>HYPERLINK("https://sao.dolgi.msk.ru/account/1404287831/", 1404287831)</f>
        <v>1404287831</v>
      </c>
      <c r="F11552">
        <v>2337.46</v>
      </c>
    </row>
    <row r="11553" spans="1:6" hidden="1" x14ac:dyDescent="0.25">
      <c r="A11553" t="s">
        <v>704</v>
      </c>
      <c r="B11553" t="s">
        <v>527</v>
      </c>
      <c r="E11553" s="3">
        <f>HYPERLINK("https://sao.dolgi.msk.ru/account/1404291742/", 1404291742)</f>
        <v>1404291742</v>
      </c>
      <c r="F11553">
        <v>-2842.1</v>
      </c>
    </row>
    <row r="11554" spans="1:6" x14ac:dyDescent="0.25">
      <c r="A11554" t="s">
        <v>704</v>
      </c>
      <c r="B11554" t="s">
        <v>528</v>
      </c>
      <c r="C11554" s="5" t="str">
        <f>" кв. "&amp;B11554</f>
        <v xml:space="preserve"> кв. 510</v>
      </c>
      <c r="D11554" s="5" t="str">
        <f>CONCATENATE(A11554,C11554)</f>
        <v>Смольная ул., дом 61 к.1 кв. 510</v>
      </c>
      <c r="E11554" s="3">
        <f>HYPERLINK("https://sao.dolgi.msk.ru/account/1404292999/", 1404292999)</f>
        <v>1404292999</v>
      </c>
      <c r="F11554">
        <v>1666.9</v>
      </c>
    </row>
    <row r="11555" spans="1:6" hidden="1" x14ac:dyDescent="0.25">
      <c r="A11555" t="s">
        <v>704</v>
      </c>
      <c r="B11555" t="s">
        <v>529</v>
      </c>
      <c r="E11555" s="3">
        <f>HYPERLINK("https://sao.dolgi.msk.ru/account/1404286265/", 1404286265)</f>
        <v>1404286265</v>
      </c>
      <c r="F11555">
        <v>-1839.57</v>
      </c>
    </row>
    <row r="11556" spans="1:6" hidden="1" x14ac:dyDescent="0.25">
      <c r="A11556" t="s">
        <v>704</v>
      </c>
      <c r="B11556" t="s">
        <v>530</v>
      </c>
      <c r="E11556" s="3">
        <f>HYPERLINK("https://sao.dolgi.msk.ru/account/1404292147/", 1404292147)</f>
        <v>1404292147</v>
      </c>
      <c r="F11556">
        <v>0</v>
      </c>
    </row>
    <row r="11557" spans="1:6" x14ac:dyDescent="0.25">
      <c r="A11557" t="s">
        <v>704</v>
      </c>
      <c r="B11557" t="s">
        <v>531</v>
      </c>
      <c r="C11557" s="5" t="str">
        <f>" кв. "&amp;B11557</f>
        <v xml:space="preserve"> кв. 513</v>
      </c>
      <c r="D11557" s="5" t="str">
        <f>CONCATENATE(A11557,C11557)</f>
        <v>Смольная ул., дом 61 к.1 кв. 513</v>
      </c>
      <c r="E11557" s="3">
        <f>HYPERLINK("https://sao.dolgi.msk.ru/account/1404289175/", 1404289175)</f>
        <v>1404289175</v>
      </c>
      <c r="F11557">
        <v>1736.49</v>
      </c>
    </row>
    <row r="11558" spans="1:6" hidden="1" x14ac:dyDescent="0.25">
      <c r="A11558" t="s">
        <v>704</v>
      </c>
      <c r="B11558" t="s">
        <v>532</v>
      </c>
      <c r="E11558" s="3">
        <f>HYPERLINK("https://sao.dolgi.msk.ru/account/1404292382/", 1404292382)</f>
        <v>1404292382</v>
      </c>
      <c r="F11558">
        <v>0</v>
      </c>
    </row>
    <row r="11559" spans="1:6" hidden="1" x14ac:dyDescent="0.25">
      <c r="A11559" t="s">
        <v>704</v>
      </c>
      <c r="B11559" t="s">
        <v>533</v>
      </c>
      <c r="E11559" s="3">
        <f>HYPERLINK("https://sao.dolgi.msk.ru/account/1404290424/", 1404290424)</f>
        <v>1404290424</v>
      </c>
      <c r="F11559">
        <v>0</v>
      </c>
    </row>
    <row r="11560" spans="1:6" hidden="1" x14ac:dyDescent="0.25">
      <c r="A11560" t="s">
        <v>704</v>
      </c>
      <c r="B11560" t="s">
        <v>534</v>
      </c>
      <c r="E11560" s="3">
        <f>HYPERLINK("https://sao.dolgi.msk.ru/account/1404290504/", 1404290504)</f>
        <v>1404290504</v>
      </c>
      <c r="F11560">
        <v>-2834.87</v>
      </c>
    </row>
    <row r="11561" spans="1:6" hidden="1" x14ac:dyDescent="0.25">
      <c r="A11561" t="s">
        <v>704</v>
      </c>
      <c r="B11561" t="s">
        <v>535</v>
      </c>
      <c r="E11561" s="3">
        <f>HYPERLINK("https://sao.dolgi.msk.ru/account/1404290643/", 1404290643)</f>
        <v>1404290643</v>
      </c>
      <c r="F11561">
        <v>0</v>
      </c>
    </row>
    <row r="11562" spans="1:6" hidden="1" x14ac:dyDescent="0.25">
      <c r="A11562" t="s">
        <v>704</v>
      </c>
      <c r="B11562" t="s">
        <v>536</v>
      </c>
      <c r="E11562" s="3">
        <f>HYPERLINK("https://sao.dolgi.msk.ru/account/1404287962/", 1404287962)</f>
        <v>1404287962</v>
      </c>
      <c r="F11562">
        <v>0</v>
      </c>
    </row>
    <row r="11563" spans="1:6" hidden="1" x14ac:dyDescent="0.25">
      <c r="A11563" t="s">
        <v>704</v>
      </c>
      <c r="B11563" t="s">
        <v>537</v>
      </c>
      <c r="E11563" s="3">
        <f>HYPERLINK("https://sao.dolgi.msk.ru/account/1404293318/", 1404293318)</f>
        <v>1404293318</v>
      </c>
      <c r="F11563">
        <v>-1830.35</v>
      </c>
    </row>
    <row r="11564" spans="1:6" hidden="1" x14ac:dyDescent="0.25">
      <c r="A11564" t="s">
        <v>704</v>
      </c>
      <c r="B11564" t="s">
        <v>538</v>
      </c>
      <c r="E11564" s="3">
        <f>HYPERLINK("https://sao.dolgi.msk.ru/account/1404291304/", 1404291304)</f>
        <v>1404291304</v>
      </c>
      <c r="F11564">
        <v>-2876.6</v>
      </c>
    </row>
    <row r="11565" spans="1:6" hidden="1" x14ac:dyDescent="0.25">
      <c r="A11565" t="s">
        <v>704</v>
      </c>
      <c r="B11565" t="s">
        <v>539</v>
      </c>
      <c r="E11565" s="3">
        <f>HYPERLINK("https://sao.dolgi.msk.ru/account/1404289108/", 1404289108)</f>
        <v>1404289108</v>
      </c>
      <c r="F11565">
        <v>-2528.2800000000002</v>
      </c>
    </row>
    <row r="11566" spans="1:6" x14ac:dyDescent="0.25">
      <c r="A11566" t="s">
        <v>704</v>
      </c>
      <c r="B11566" t="s">
        <v>540</v>
      </c>
      <c r="C11566" s="5" t="str">
        <f>" кв. "&amp;B11566</f>
        <v xml:space="preserve"> кв. 522</v>
      </c>
      <c r="D11566" s="5" t="str">
        <f>CONCATENATE(A11566,C11566)</f>
        <v>Смольная ул., дом 61 к.1 кв. 522</v>
      </c>
      <c r="E11566" s="3">
        <f>HYPERLINK("https://sao.dolgi.msk.ru/account/1404292921/", 1404292921)</f>
        <v>1404292921</v>
      </c>
      <c r="F11566">
        <v>1666.9</v>
      </c>
    </row>
    <row r="11567" spans="1:6" hidden="1" x14ac:dyDescent="0.25">
      <c r="A11567" t="s">
        <v>704</v>
      </c>
      <c r="B11567" t="s">
        <v>541</v>
      </c>
      <c r="E11567" s="3">
        <f>HYPERLINK("https://sao.dolgi.msk.ru/account/1404290029/", 1404290029)</f>
        <v>1404290029</v>
      </c>
      <c r="F11567">
        <v>0</v>
      </c>
    </row>
    <row r="11568" spans="1:6" hidden="1" x14ac:dyDescent="0.25">
      <c r="A11568" t="s">
        <v>704</v>
      </c>
      <c r="B11568" t="s">
        <v>542</v>
      </c>
      <c r="E11568" s="3">
        <f>HYPERLINK("https://sao.dolgi.msk.ru/account/1404292809/", 1404292809)</f>
        <v>1404292809</v>
      </c>
      <c r="F11568">
        <v>-3429.57</v>
      </c>
    </row>
    <row r="11569" spans="1:6" hidden="1" x14ac:dyDescent="0.25">
      <c r="A11569" t="s">
        <v>704</v>
      </c>
      <c r="B11569" t="s">
        <v>543</v>
      </c>
      <c r="E11569" s="3">
        <f>HYPERLINK("https://sao.dolgi.msk.ru/account/1404288658/", 1404288658)</f>
        <v>1404288658</v>
      </c>
      <c r="F11569">
        <v>-2090.29</v>
      </c>
    </row>
    <row r="11570" spans="1:6" hidden="1" x14ac:dyDescent="0.25">
      <c r="A11570" t="s">
        <v>704</v>
      </c>
      <c r="B11570" t="s">
        <v>544</v>
      </c>
      <c r="E11570" s="3">
        <f>HYPERLINK("https://sao.dolgi.msk.ru/account/1404291048/", 1404291048)</f>
        <v>1404291048</v>
      </c>
      <c r="F11570">
        <v>-2477.4299999999998</v>
      </c>
    </row>
    <row r="11571" spans="1:6" hidden="1" x14ac:dyDescent="0.25">
      <c r="A11571" t="s">
        <v>704</v>
      </c>
      <c r="B11571" t="s">
        <v>545</v>
      </c>
      <c r="E11571" s="3">
        <f>HYPERLINK("https://sao.dolgi.msk.ru/account/1404289597/", 1404289597)</f>
        <v>1404289597</v>
      </c>
      <c r="F11571">
        <v>-1036.29</v>
      </c>
    </row>
    <row r="11572" spans="1:6" x14ac:dyDescent="0.25">
      <c r="A11572" t="s">
        <v>704</v>
      </c>
      <c r="B11572" t="s">
        <v>546</v>
      </c>
      <c r="C11572" s="5" t="str">
        <f>" кв. "&amp;B11572</f>
        <v xml:space="preserve"> кв. 528</v>
      </c>
      <c r="D11572" s="5" t="str">
        <f>CONCATENATE(A11572,C11572)</f>
        <v>Смольная ул., дом 61 к.1 кв. 528</v>
      </c>
      <c r="E11572" s="3">
        <f>HYPERLINK("https://sao.dolgi.msk.ru/account/1404291574/", 1404291574)</f>
        <v>1404291574</v>
      </c>
      <c r="F11572">
        <v>2422.86</v>
      </c>
    </row>
    <row r="11573" spans="1:6" hidden="1" x14ac:dyDescent="0.25">
      <c r="A11573" t="s">
        <v>704</v>
      </c>
      <c r="B11573" t="s">
        <v>547</v>
      </c>
      <c r="E11573" s="3">
        <f>HYPERLINK("https://sao.dolgi.msk.ru/account/1404289394/", 1404289394)</f>
        <v>1404289394</v>
      </c>
      <c r="F11573">
        <v>-2039.69</v>
      </c>
    </row>
    <row r="11574" spans="1:6" hidden="1" x14ac:dyDescent="0.25">
      <c r="A11574" t="s">
        <v>704</v>
      </c>
      <c r="B11574" t="s">
        <v>548</v>
      </c>
      <c r="E11574" s="3">
        <f>HYPERLINK("https://sao.dolgi.msk.ru/account/1404291857/", 1404291857)</f>
        <v>1404291857</v>
      </c>
      <c r="F11574">
        <v>0</v>
      </c>
    </row>
    <row r="11575" spans="1:6" hidden="1" x14ac:dyDescent="0.25">
      <c r="A11575" t="s">
        <v>704</v>
      </c>
      <c r="B11575" t="s">
        <v>549</v>
      </c>
      <c r="E11575" s="3">
        <f>HYPERLINK("https://sao.dolgi.msk.ru/account/1404287591/", 1404287591)</f>
        <v>1404287591</v>
      </c>
      <c r="F11575">
        <v>0</v>
      </c>
    </row>
    <row r="11576" spans="1:6" x14ac:dyDescent="0.25">
      <c r="A11576" t="s">
        <v>704</v>
      </c>
      <c r="B11576" t="s">
        <v>550</v>
      </c>
      <c r="C11576" s="5" t="str">
        <f>" кв. "&amp;B11576</f>
        <v xml:space="preserve"> кв. 532</v>
      </c>
      <c r="D11576" s="5" t="str">
        <f>CONCATENATE(A11576,C11576)</f>
        <v>Смольная ул., дом 61 к.1 кв. 532</v>
      </c>
      <c r="E11576" s="3">
        <f>HYPERLINK("https://sao.dolgi.msk.ru/account/1404292817/", 1404292817)</f>
        <v>1404292817</v>
      </c>
      <c r="F11576">
        <v>2381.7399999999998</v>
      </c>
    </row>
    <row r="11577" spans="1:6" hidden="1" x14ac:dyDescent="0.25">
      <c r="A11577" t="s">
        <v>704</v>
      </c>
      <c r="B11577" t="s">
        <v>551</v>
      </c>
      <c r="E11577" s="3">
        <f>HYPERLINK("https://sao.dolgi.msk.ru/account/1404286855/", 1404286855)</f>
        <v>1404286855</v>
      </c>
      <c r="F11577">
        <v>-2230.83</v>
      </c>
    </row>
    <row r="11578" spans="1:6" hidden="1" x14ac:dyDescent="0.25">
      <c r="A11578" t="s">
        <v>704</v>
      </c>
      <c r="B11578" t="s">
        <v>552</v>
      </c>
      <c r="E11578" s="3">
        <f>HYPERLINK("https://sao.dolgi.msk.ru/account/1404287794/", 1404287794)</f>
        <v>1404287794</v>
      </c>
      <c r="F11578">
        <v>-1654.71</v>
      </c>
    </row>
    <row r="11579" spans="1:6" hidden="1" x14ac:dyDescent="0.25">
      <c r="A11579" t="s">
        <v>704</v>
      </c>
      <c r="B11579" t="s">
        <v>553</v>
      </c>
      <c r="E11579" s="3">
        <f>HYPERLINK("https://sao.dolgi.msk.ru/account/1404287989/", 1404287989)</f>
        <v>1404287989</v>
      </c>
      <c r="F11579">
        <v>-1385.81</v>
      </c>
    </row>
    <row r="11580" spans="1:6" hidden="1" x14ac:dyDescent="0.25">
      <c r="A11580" t="s">
        <v>704</v>
      </c>
      <c r="B11580" t="s">
        <v>554</v>
      </c>
      <c r="E11580" s="3">
        <f>HYPERLINK("https://sao.dolgi.msk.ru/account/1404292374/", 1404292374)</f>
        <v>1404292374</v>
      </c>
      <c r="F11580">
        <v>-2603.38</v>
      </c>
    </row>
    <row r="11581" spans="1:6" hidden="1" x14ac:dyDescent="0.25">
      <c r="A11581" t="s">
        <v>704</v>
      </c>
      <c r="B11581" t="s">
        <v>555</v>
      </c>
      <c r="E11581" s="3">
        <f>HYPERLINK("https://sao.dolgi.msk.ru/account/1404288711/", 1404288711)</f>
        <v>1404288711</v>
      </c>
      <c r="F11581">
        <v>-1654.71</v>
      </c>
    </row>
    <row r="11582" spans="1:6" hidden="1" x14ac:dyDescent="0.25">
      <c r="A11582" t="s">
        <v>704</v>
      </c>
      <c r="B11582" t="s">
        <v>556</v>
      </c>
      <c r="E11582" s="3">
        <f>HYPERLINK("https://sao.dolgi.msk.ru/account/1404286548/", 1404286548)</f>
        <v>1404286548</v>
      </c>
      <c r="F11582">
        <v>-1206.3599999999999</v>
      </c>
    </row>
    <row r="11583" spans="1:6" hidden="1" x14ac:dyDescent="0.25">
      <c r="A11583" t="s">
        <v>704</v>
      </c>
      <c r="B11583" t="s">
        <v>556</v>
      </c>
      <c r="E11583" s="3">
        <f>HYPERLINK("https://sao.dolgi.msk.ru/account/1404288826/", 1404288826)</f>
        <v>1404288826</v>
      </c>
      <c r="F11583">
        <v>-603.19000000000005</v>
      </c>
    </row>
    <row r="11584" spans="1:6" x14ac:dyDescent="0.25">
      <c r="A11584" t="s">
        <v>704</v>
      </c>
      <c r="B11584" t="s">
        <v>557</v>
      </c>
      <c r="C11584" s="5" t="str">
        <f>" кв. "&amp;B11584</f>
        <v xml:space="preserve"> кв. 539</v>
      </c>
      <c r="D11584" s="5" t="str">
        <f>CONCATENATE(A11584,C11584)</f>
        <v>Смольная ул., дом 61 к.1 кв. 539</v>
      </c>
      <c r="E11584" s="3">
        <f>HYPERLINK("https://sao.dolgi.msk.ru/account/1404290045/", 1404290045)</f>
        <v>1404290045</v>
      </c>
      <c r="F11584">
        <v>1281.02</v>
      </c>
    </row>
    <row r="11585" spans="1:6" hidden="1" x14ac:dyDescent="0.25">
      <c r="A11585" t="s">
        <v>704</v>
      </c>
      <c r="B11585" t="s">
        <v>558</v>
      </c>
      <c r="E11585" s="3">
        <f>HYPERLINK("https://sao.dolgi.msk.ru/account/1404286521/", 1404286521)</f>
        <v>1404286521</v>
      </c>
      <c r="F11585">
        <v>0</v>
      </c>
    </row>
    <row r="11586" spans="1:6" hidden="1" x14ac:dyDescent="0.25">
      <c r="A11586" t="s">
        <v>704</v>
      </c>
      <c r="B11586" t="s">
        <v>559</v>
      </c>
      <c r="E11586" s="3">
        <f>HYPERLINK("https://sao.dolgi.msk.ru/account/1404289327/", 1404289327)</f>
        <v>1404289327</v>
      </c>
      <c r="F11586">
        <v>-2167.36</v>
      </c>
    </row>
    <row r="11587" spans="1:6" hidden="1" x14ac:dyDescent="0.25">
      <c r="A11587" t="s">
        <v>704</v>
      </c>
      <c r="B11587" t="s">
        <v>560</v>
      </c>
      <c r="E11587" s="3">
        <f>HYPERLINK("https://sao.dolgi.msk.ru/account/1404286708/", 1404286708)</f>
        <v>1404286708</v>
      </c>
      <c r="F11587">
        <v>-2412.73</v>
      </c>
    </row>
    <row r="11588" spans="1:6" hidden="1" x14ac:dyDescent="0.25">
      <c r="A11588" t="s">
        <v>704</v>
      </c>
      <c r="B11588" t="s">
        <v>561</v>
      </c>
      <c r="E11588" s="3">
        <f>HYPERLINK("https://sao.dolgi.msk.ru/account/1404292278/", 1404292278)</f>
        <v>1404292278</v>
      </c>
      <c r="F11588">
        <v>-1640.44</v>
      </c>
    </row>
    <row r="11589" spans="1:6" hidden="1" x14ac:dyDescent="0.25">
      <c r="A11589" t="s">
        <v>704</v>
      </c>
      <c r="B11589" t="s">
        <v>562</v>
      </c>
      <c r="E11589" s="3">
        <f>HYPERLINK("https://sao.dolgi.msk.ru/account/1404290678/", 1404290678)</f>
        <v>1404290678</v>
      </c>
      <c r="F11589">
        <v>0</v>
      </c>
    </row>
    <row r="11590" spans="1:6" hidden="1" x14ac:dyDescent="0.25">
      <c r="A11590" t="s">
        <v>704</v>
      </c>
      <c r="B11590" t="s">
        <v>563</v>
      </c>
      <c r="E11590" s="3">
        <f>HYPERLINK("https://sao.dolgi.msk.ru/account/1404288033/", 1404288033)</f>
        <v>1404288033</v>
      </c>
      <c r="F11590">
        <v>-2417.35</v>
      </c>
    </row>
    <row r="11591" spans="1:6" x14ac:dyDescent="0.25">
      <c r="A11591" t="s">
        <v>704</v>
      </c>
      <c r="B11591" t="s">
        <v>564</v>
      </c>
      <c r="C11591" s="5" t="str">
        <f>" кв. "&amp;B11591</f>
        <v xml:space="preserve"> кв. 546</v>
      </c>
      <c r="D11591" s="5" t="str">
        <f>CONCATENATE(A11591,C11591)</f>
        <v>Смольная ул., дом 61 к.1 кв. 546</v>
      </c>
      <c r="E11591" s="3">
        <f>HYPERLINK("https://sao.dolgi.msk.ru/account/1404293529/", 1404293529)</f>
        <v>1404293529</v>
      </c>
      <c r="F11591">
        <v>1651.09</v>
      </c>
    </row>
    <row r="11592" spans="1:6" hidden="1" x14ac:dyDescent="0.25">
      <c r="A11592" t="s">
        <v>704</v>
      </c>
      <c r="B11592" t="s">
        <v>565</v>
      </c>
      <c r="E11592" s="3">
        <f>HYPERLINK("https://sao.dolgi.msk.ru/account/1404292673/", 1404292673)</f>
        <v>1404292673</v>
      </c>
      <c r="F11592">
        <v>0</v>
      </c>
    </row>
    <row r="11593" spans="1:6" hidden="1" x14ac:dyDescent="0.25">
      <c r="A11593" t="s">
        <v>704</v>
      </c>
      <c r="B11593" t="s">
        <v>566</v>
      </c>
      <c r="E11593" s="3">
        <f>HYPERLINK("https://sao.dolgi.msk.ru/account/1404291566/", 1404291566)</f>
        <v>1404291566</v>
      </c>
      <c r="F11593">
        <v>-4702.0200000000004</v>
      </c>
    </row>
    <row r="11594" spans="1:6" hidden="1" x14ac:dyDescent="0.25">
      <c r="A11594" t="s">
        <v>704</v>
      </c>
      <c r="B11594" t="s">
        <v>567</v>
      </c>
      <c r="E11594" s="3">
        <f>HYPERLINK("https://sao.dolgi.msk.ru/account/1404289204/", 1404289204)</f>
        <v>1404289204</v>
      </c>
      <c r="F11594">
        <v>0</v>
      </c>
    </row>
    <row r="11595" spans="1:6" hidden="1" x14ac:dyDescent="0.25">
      <c r="A11595" t="s">
        <v>704</v>
      </c>
      <c r="B11595" t="s">
        <v>568</v>
      </c>
      <c r="E11595" s="3">
        <f>HYPERLINK("https://sao.dolgi.msk.ru/account/1404293094/", 1404293094)</f>
        <v>1404293094</v>
      </c>
      <c r="F11595">
        <v>0</v>
      </c>
    </row>
    <row r="11596" spans="1:6" x14ac:dyDescent="0.25">
      <c r="A11596" t="s">
        <v>704</v>
      </c>
      <c r="B11596" t="s">
        <v>569</v>
      </c>
      <c r="C11596" s="5" t="str">
        <f>" кв. "&amp;B11596</f>
        <v xml:space="preserve"> кв. 551</v>
      </c>
      <c r="D11596" s="5" t="str">
        <f>CONCATENATE(A11596,C11596)</f>
        <v>Смольная ул., дом 61 к.1 кв. 551</v>
      </c>
      <c r="E11596" s="3">
        <f>HYPERLINK("https://sao.dolgi.msk.ru/account/1404289423/", 1404289423)</f>
        <v>1404289423</v>
      </c>
      <c r="F11596">
        <v>1281.02</v>
      </c>
    </row>
    <row r="11597" spans="1:6" hidden="1" x14ac:dyDescent="0.25">
      <c r="A11597" t="s">
        <v>704</v>
      </c>
      <c r="B11597" t="s">
        <v>570</v>
      </c>
      <c r="E11597" s="3">
        <f>HYPERLINK("https://sao.dolgi.msk.ru/account/1404292411/", 1404292411)</f>
        <v>1404292411</v>
      </c>
      <c r="F11597">
        <v>-2934.98</v>
      </c>
    </row>
    <row r="11598" spans="1:6" x14ac:dyDescent="0.25">
      <c r="A11598" t="s">
        <v>704</v>
      </c>
      <c r="B11598" t="s">
        <v>571</v>
      </c>
      <c r="C11598" s="5" t="str">
        <f>" кв. "&amp;B11598</f>
        <v xml:space="preserve"> кв. 553</v>
      </c>
      <c r="D11598" s="5" t="str">
        <f>CONCATENATE(A11598,C11598)</f>
        <v>Смольная ул., дом 61 к.1 кв. 553</v>
      </c>
      <c r="E11598" s="3">
        <f>HYPERLINK("https://sao.dolgi.msk.ru/account/1404292243/", 1404292243)</f>
        <v>1404292243</v>
      </c>
      <c r="F11598">
        <v>1657.41</v>
      </c>
    </row>
    <row r="11599" spans="1:6" hidden="1" x14ac:dyDescent="0.25">
      <c r="A11599" t="s">
        <v>704</v>
      </c>
      <c r="B11599" t="s">
        <v>572</v>
      </c>
      <c r="E11599" s="3">
        <f>HYPERLINK("https://sao.dolgi.msk.ru/account/1404290053/", 1404290053)</f>
        <v>1404290053</v>
      </c>
      <c r="F11599">
        <v>-2020.24</v>
      </c>
    </row>
    <row r="11600" spans="1:6" hidden="1" x14ac:dyDescent="0.25">
      <c r="A11600" t="s">
        <v>704</v>
      </c>
      <c r="B11600" t="s">
        <v>573</v>
      </c>
      <c r="E11600" s="3">
        <f>HYPERLINK("https://sao.dolgi.msk.ru/account/1404293481/", 1404293481)</f>
        <v>1404293481</v>
      </c>
      <c r="F11600">
        <v>-1881.18</v>
      </c>
    </row>
    <row r="11601" spans="1:6" hidden="1" x14ac:dyDescent="0.25">
      <c r="A11601" t="s">
        <v>704</v>
      </c>
      <c r="B11601" t="s">
        <v>574</v>
      </c>
      <c r="E11601" s="3">
        <f>HYPERLINK("https://sao.dolgi.msk.ru/account/1404286302/", 1404286302)</f>
        <v>1404286302</v>
      </c>
      <c r="F11601">
        <v>-1097.22</v>
      </c>
    </row>
    <row r="11602" spans="1:6" hidden="1" x14ac:dyDescent="0.25">
      <c r="A11602" t="s">
        <v>704</v>
      </c>
      <c r="B11602" t="s">
        <v>575</v>
      </c>
      <c r="E11602" s="3">
        <f>HYPERLINK("https://sao.dolgi.msk.ru/account/1404289255/", 1404289255)</f>
        <v>1404289255</v>
      </c>
      <c r="F11602">
        <v>-1640.84</v>
      </c>
    </row>
    <row r="11603" spans="1:6" hidden="1" x14ac:dyDescent="0.25">
      <c r="A11603" t="s">
        <v>704</v>
      </c>
      <c r="B11603" t="s">
        <v>576</v>
      </c>
      <c r="E11603" s="3">
        <f>HYPERLINK("https://sao.dolgi.msk.ru/account/1404286353/", 1404286353)</f>
        <v>1404286353</v>
      </c>
      <c r="F11603">
        <v>-2047.46</v>
      </c>
    </row>
    <row r="11604" spans="1:6" hidden="1" x14ac:dyDescent="0.25">
      <c r="A11604" t="s">
        <v>704</v>
      </c>
      <c r="B11604" t="s">
        <v>577</v>
      </c>
      <c r="E11604" s="3">
        <f>HYPERLINK("https://sao.dolgi.msk.ru/account/1404290686/", 1404290686)</f>
        <v>1404290686</v>
      </c>
      <c r="F11604">
        <v>-1885.8</v>
      </c>
    </row>
    <row r="11605" spans="1:6" hidden="1" x14ac:dyDescent="0.25">
      <c r="A11605" t="s">
        <v>704</v>
      </c>
      <c r="B11605" t="s">
        <v>578</v>
      </c>
      <c r="E11605" s="3">
        <f>HYPERLINK("https://sao.dolgi.msk.ru/account/1404288893/", 1404288893)</f>
        <v>1404288893</v>
      </c>
      <c r="F11605">
        <v>-2274.64</v>
      </c>
    </row>
    <row r="11606" spans="1:6" hidden="1" x14ac:dyDescent="0.25">
      <c r="A11606" t="s">
        <v>704</v>
      </c>
      <c r="B11606" t="s">
        <v>579</v>
      </c>
      <c r="E11606" s="3">
        <f>HYPERLINK("https://sao.dolgi.msk.ru/account/1404288818/", 1404288818)</f>
        <v>1404288818</v>
      </c>
      <c r="F11606">
        <v>0</v>
      </c>
    </row>
    <row r="11607" spans="1:6" hidden="1" x14ac:dyDescent="0.25">
      <c r="A11607" t="s">
        <v>704</v>
      </c>
      <c r="B11607" t="s">
        <v>580</v>
      </c>
      <c r="E11607" s="3">
        <f>HYPERLINK("https://sao.dolgi.msk.ru/account/1404292032/", 1404292032)</f>
        <v>1404292032</v>
      </c>
      <c r="F11607">
        <v>-2435.8200000000002</v>
      </c>
    </row>
    <row r="11608" spans="1:6" hidden="1" x14ac:dyDescent="0.25">
      <c r="A11608" t="s">
        <v>704</v>
      </c>
      <c r="B11608" t="s">
        <v>581</v>
      </c>
      <c r="E11608" s="3">
        <f>HYPERLINK("https://sao.dolgi.msk.ru/account/1404290002/", 1404290002)</f>
        <v>1404290002</v>
      </c>
      <c r="F11608">
        <v>-3415.46</v>
      </c>
    </row>
    <row r="11609" spans="1:6" hidden="1" x14ac:dyDescent="0.25">
      <c r="A11609" t="s">
        <v>704</v>
      </c>
      <c r="B11609" t="s">
        <v>582</v>
      </c>
      <c r="E11609" s="3">
        <f>HYPERLINK("https://sao.dolgi.msk.ru/account/1404288068/", 1404288068)</f>
        <v>1404288068</v>
      </c>
      <c r="F11609">
        <v>-2934.98</v>
      </c>
    </row>
    <row r="11610" spans="1:6" x14ac:dyDescent="0.25">
      <c r="A11610" t="s">
        <v>704</v>
      </c>
      <c r="B11610" t="s">
        <v>583</v>
      </c>
      <c r="C11610" s="5" t="str">
        <f t="shared" ref="C11610:C11611" si="485">" кв. "&amp;B11610</f>
        <v xml:space="preserve"> кв. 565</v>
      </c>
      <c r="D11610" s="5" t="str">
        <f>CONCATENATE(A11610,C11610)</f>
        <v>Смольная ул., дом 61 к.1 кв. 565</v>
      </c>
      <c r="E11610" s="3">
        <f>HYPERLINK("https://sao.dolgi.msk.ru/account/1404291099/", 1404291099)</f>
        <v>1404291099</v>
      </c>
      <c r="F11610">
        <v>1666.9</v>
      </c>
    </row>
    <row r="11611" spans="1:6" x14ac:dyDescent="0.25">
      <c r="A11611" t="s">
        <v>704</v>
      </c>
      <c r="B11611" t="s">
        <v>584</v>
      </c>
      <c r="C11611" s="5" t="str">
        <f t="shared" si="485"/>
        <v xml:space="preserve"> кв. 566</v>
      </c>
      <c r="D11611" s="5" t="str">
        <f>CONCATENATE(A11611,C11611)</f>
        <v>Смольная ул., дом 61 к.1 кв. 566</v>
      </c>
      <c r="E11611" s="3">
        <f>HYPERLINK("https://sao.dolgi.msk.ru/account/1404289386/", 1404289386)</f>
        <v>1404289386</v>
      </c>
      <c r="F11611">
        <v>1148.1600000000001</v>
      </c>
    </row>
    <row r="11612" spans="1:6" hidden="1" x14ac:dyDescent="0.25">
      <c r="A11612" t="s">
        <v>704</v>
      </c>
      <c r="B11612" t="s">
        <v>585</v>
      </c>
      <c r="E11612" s="3">
        <f>HYPERLINK("https://sao.dolgi.msk.ru/account/1404291419/", 1404291419)</f>
        <v>1404291419</v>
      </c>
      <c r="F11612">
        <v>-4745.4399999999996</v>
      </c>
    </row>
    <row r="11613" spans="1:6" x14ac:dyDescent="0.25">
      <c r="A11613" t="s">
        <v>704</v>
      </c>
      <c r="B11613" t="s">
        <v>586</v>
      </c>
      <c r="C11613" s="5" t="str">
        <f>" кв. "&amp;B11613</f>
        <v xml:space="preserve"> кв. 568</v>
      </c>
      <c r="D11613" s="5" t="str">
        <f>CONCATENATE(A11613,C11613)</f>
        <v>Смольная ул., дом 61 к.1 кв. 568</v>
      </c>
      <c r="E11613" s="3">
        <f>HYPERLINK("https://sao.dolgi.msk.ru/account/1404286249/", 1404286249)</f>
        <v>1404286249</v>
      </c>
      <c r="F11613">
        <v>1856.67</v>
      </c>
    </row>
    <row r="11614" spans="1:6" hidden="1" x14ac:dyDescent="0.25">
      <c r="A11614" t="s">
        <v>704</v>
      </c>
      <c r="B11614" t="s">
        <v>587</v>
      </c>
      <c r="E11614" s="3">
        <f>HYPERLINK("https://sao.dolgi.msk.ru/account/1404291232/", 1404291232)</f>
        <v>1404291232</v>
      </c>
      <c r="F11614">
        <v>-458.98</v>
      </c>
    </row>
    <row r="11615" spans="1:6" hidden="1" x14ac:dyDescent="0.25">
      <c r="A11615" t="s">
        <v>704</v>
      </c>
      <c r="B11615" t="s">
        <v>588</v>
      </c>
      <c r="E11615" s="3">
        <f>HYPERLINK("https://sao.dolgi.msk.ru/account/1404292497/", 1404292497)</f>
        <v>1404292497</v>
      </c>
      <c r="F11615">
        <v>-2417.35</v>
      </c>
    </row>
    <row r="11616" spans="1:6" hidden="1" x14ac:dyDescent="0.25">
      <c r="A11616" t="s">
        <v>704</v>
      </c>
      <c r="B11616" t="s">
        <v>589</v>
      </c>
      <c r="E11616" s="3">
        <f>HYPERLINK("https://sao.dolgi.msk.ru/account/1404286484/", 1404286484)</f>
        <v>1404286484</v>
      </c>
      <c r="F11616">
        <v>-351.64</v>
      </c>
    </row>
    <row r="11617" spans="1:6" hidden="1" x14ac:dyDescent="0.25">
      <c r="A11617" t="s">
        <v>704</v>
      </c>
      <c r="B11617" t="s">
        <v>590</v>
      </c>
      <c r="E11617" s="3">
        <f>HYPERLINK("https://sao.dolgi.msk.ru/account/1404293377/", 1404293377)</f>
        <v>1404293377</v>
      </c>
      <c r="F11617">
        <v>-2589.3200000000002</v>
      </c>
    </row>
    <row r="11618" spans="1:6" hidden="1" x14ac:dyDescent="0.25">
      <c r="A11618" t="s">
        <v>704</v>
      </c>
      <c r="B11618" t="s">
        <v>591</v>
      </c>
      <c r="E11618" s="3">
        <f>HYPERLINK("https://sao.dolgi.msk.ru/account/1404289036/", 1404289036)</f>
        <v>1404289036</v>
      </c>
      <c r="F11618">
        <v>-1423.2</v>
      </c>
    </row>
    <row r="11619" spans="1:6" hidden="1" x14ac:dyDescent="0.25">
      <c r="A11619" t="s">
        <v>704</v>
      </c>
      <c r="B11619" t="s">
        <v>592</v>
      </c>
      <c r="E11619" s="3">
        <f>HYPERLINK("https://sao.dolgi.msk.ru/account/1404289669/", 1404289669)</f>
        <v>1404289669</v>
      </c>
      <c r="F11619">
        <v>-2435.8200000000002</v>
      </c>
    </row>
    <row r="11620" spans="1:6" hidden="1" x14ac:dyDescent="0.25">
      <c r="A11620" t="s">
        <v>704</v>
      </c>
      <c r="B11620" t="s">
        <v>593</v>
      </c>
      <c r="E11620" s="3">
        <f>HYPERLINK("https://sao.dolgi.msk.ru/account/1404293254/", 1404293254)</f>
        <v>1404293254</v>
      </c>
      <c r="F11620">
        <v>-1890.43</v>
      </c>
    </row>
    <row r="11621" spans="1:6" hidden="1" x14ac:dyDescent="0.25">
      <c r="A11621" t="s">
        <v>704</v>
      </c>
      <c r="B11621" t="s">
        <v>594</v>
      </c>
      <c r="E11621" s="3">
        <f>HYPERLINK("https://sao.dolgi.msk.ru/account/1404293545/", 1404293545)</f>
        <v>1404293545</v>
      </c>
      <c r="F11621">
        <v>-3057.51</v>
      </c>
    </row>
    <row r="11622" spans="1:6" hidden="1" x14ac:dyDescent="0.25">
      <c r="A11622" t="s">
        <v>704</v>
      </c>
      <c r="B11622" t="s">
        <v>595</v>
      </c>
      <c r="E11622" s="3">
        <f>HYPERLINK("https://sao.dolgi.msk.ru/account/1404291187/", 1404291187)</f>
        <v>1404291187</v>
      </c>
      <c r="F11622">
        <v>-2235.1</v>
      </c>
    </row>
    <row r="11623" spans="1:6" hidden="1" x14ac:dyDescent="0.25">
      <c r="A11623" t="s">
        <v>704</v>
      </c>
      <c r="B11623" t="s">
        <v>596</v>
      </c>
      <c r="E11623" s="3">
        <f>HYPERLINK("https://sao.dolgi.msk.ru/account/1404286214/", 1404286214)</f>
        <v>1404286214</v>
      </c>
      <c r="F11623">
        <v>0</v>
      </c>
    </row>
    <row r="11624" spans="1:6" hidden="1" x14ac:dyDescent="0.25">
      <c r="A11624" t="s">
        <v>704</v>
      </c>
      <c r="B11624" t="s">
        <v>597</v>
      </c>
      <c r="E11624" s="3">
        <f>HYPERLINK("https://sao.dolgi.msk.ru/account/1404286118/", 1404286118)</f>
        <v>1404286118</v>
      </c>
      <c r="F11624">
        <v>-1885.8</v>
      </c>
    </row>
    <row r="11625" spans="1:6" hidden="1" x14ac:dyDescent="0.25">
      <c r="A11625" t="s">
        <v>704</v>
      </c>
      <c r="B11625" t="s">
        <v>598</v>
      </c>
      <c r="E11625" s="3">
        <f>HYPERLINK("https://sao.dolgi.msk.ru/account/1404289829/", 1404289829)</f>
        <v>1404289829</v>
      </c>
      <c r="F11625">
        <v>-3494.29</v>
      </c>
    </row>
    <row r="11626" spans="1:6" x14ac:dyDescent="0.25">
      <c r="A11626" t="s">
        <v>704</v>
      </c>
      <c r="B11626" t="s">
        <v>599</v>
      </c>
      <c r="C11626" s="5" t="str">
        <f>" кв. "&amp;B11626</f>
        <v xml:space="preserve"> кв. 581</v>
      </c>
      <c r="D11626" s="5" t="str">
        <f>CONCATENATE(A11626,C11626)</f>
        <v>Смольная ул., дом 61 к.1 кв. 581</v>
      </c>
      <c r="E11626" s="3">
        <f>HYPERLINK("https://sao.dolgi.msk.ru/account/1404286177/", 1404286177)</f>
        <v>1404286177</v>
      </c>
      <c r="F11626">
        <v>1660.58</v>
      </c>
    </row>
    <row r="11627" spans="1:6" hidden="1" x14ac:dyDescent="0.25">
      <c r="A11627" t="s">
        <v>704</v>
      </c>
      <c r="B11627" t="s">
        <v>600</v>
      </c>
      <c r="E11627" s="3">
        <f>HYPERLINK("https://sao.dolgi.msk.ru/account/1404289706/", 1404289706)</f>
        <v>1404289706</v>
      </c>
      <c r="F11627">
        <v>-2421.9699999999998</v>
      </c>
    </row>
    <row r="11628" spans="1:6" hidden="1" x14ac:dyDescent="0.25">
      <c r="A11628" t="s">
        <v>704</v>
      </c>
      <c r="B11628" t="s">
        <v>601</v>
      </c>
      <c r="E11628" s="3">
        <f>HYPERLINK("https://sao.dolgi.msk.ru/account/1404289757/", 1404289757)</f>
        <v>1404289757</v>
      </c>
      <c r="F11628">
        <v>-3597.65</v>
      </c>
    </row>
    <row r="11629" spans="1:6" x14ac:dyDescent="0.25">
      <c r="A11629" t="s">
        <v>704</v>
      </c>
      <c r="B11629" t="s">
        <v>602</v>
      </c>
      <c r="C11629" s="5" t="str">
        <f>" кв. "&amp;B11629</f>
        <v xml:space="preserve"> кв. 584</v>
      </c>
      <c r="D11629" s="5" t="str">
        <f>CONCATENATE(A11629,C11629)</f>
        <v>Смольная ул., дом 61 к.1 кв. 584</v>
      </c>
      <c r="E11629" s="3">
        <f>HYPERLINK("https://sao.dolgi.msk.ru/account/1404290993/", 1404290993)</f>
        <v>1404290993</v>
      </c>
      <c r="F11629">
        <v>2378.58</v>
      </c>
    </row>
    <row r="11630" spans="1:6" hidden="1" x14ac:dyDescent="0.25">
      <c r="A11630" t="s">
        <v>704</v>
      </c>
      <c r="B11630" t="s">
        <v>603</v>
      </c>
      <c r="E11630" s="3">
        <f>HYPERLINK("https://sao.dolgi.msk.ru/account/1404287954/", 1404287954)</f>
        <v>1404287954</v>
      </c>
      <c r="F11630">
        <v>-2426.6</v>
      </c>
    </row>
    <row r="11631" spans="1:6" hidden="1" x14ac:dyDescent="0.25">
      <c r="A11631" t="s">
        <v>704</v>
      </c>
      <c r="B11631" t="s">
        <v>604</v>
      </c>
      <c r="E11631" s="3">
        <f>HYPERLINK("https://sao.dolgi.msk.ru/account/1404287049/", 1404287049)</f>
        <v>1404287049</v>
      </c>
      <c r="F11631">
        <v>0</v>
      </c>
    </row>
    <row r="11632" spans="1:6" hidden="1" x14ac:dyDescent="0.25">
      <c r="A11632" t="s">
        <v>704</v>
      </c>
      <c r="B11632" t="s">
        <v>605</v>
      </c>
      <c r="E11632" s="3">
        <f>HYPERLINK("https://sao.dolgi.msk.ru/account/1404290272/", 1404290272)</f>
        <v>1404290272</v>
      </c>
      <c r="F11632">
        <v>-1407.42</v>
      </c>
    </row>
    <row r="11633" spans="1:6" hidden="1" x14ac:dyDescent="0.25">
      <c r="A11633" t="s">
        <v>704</v>
      </c>
      <c r="B11633" t="s">
        <v>606</v>
      </c>
      <c r="E11633" s="3">
        <f>HYPERLINK("https://sao.dolgi.msk.ru/account/1404287321/", 1404287321)</f>
        <v>1404287321</v>
      </c>
      <c r="F11633">
        <v>-3480.42</v>
      </c>
    </row>
    <row r="11634" spans="1:6" hidden="1" x14ac:dyDescent="0.25">
      <c r="A11634" t="s">
        <v>704</v>
      </c>
      <c r="B11634" t="s">
        <v>607</v>
      </c>
      <c r="E11634" s="3">
        <f>HYPERLINK("https://sao.dolgi.msk.ru/account/1404290387/", 1404290387)</f>
        <v>1404290387</v>
      </c>
      <c r="F11634">
        <v>0</v>
      </c>
    </row>
    <row r="11635" spans="1:6" x14ac:dyDescent="0.25">
      <c r="A11635" t="s">
        <v>704</v>
      </c>
      <c r="B11635" t="s">
        <v>608</v>
      </c>
      <c r="C11635" s="5" t="str">
        <f>" кв. "&amp;B11635</f>
        <v xml:space="preserve"> кв. 590</v>
      </c>
      <c r="D11635" s="5" t="str">
        <f>CONCATENATE(A11635,C11635)</f>
        <v>Смольная ул., дом 61 к.1 кв. 590</v>
      </c>
      <c r="E11635" s="3">
        <f>HYPERLINK("https://sao.dolgi.msk.ru/account/1404289853/", 1404289853)</f>
        <v>1404289853</v>
      </c>
      <c r="F11635">
        <v>1663.74</v>
      </c>
    </row>
    <row r="11636" spans="1:6" hidden="1" x14ac:dyDescent="0.25">
      <c r="A11636" t="s">
        <v>704</v>
      </c>
      <c r="B11636" t="s">
        <v>609</v>
      </c>
      <c r="E11636" s="3">
        <f>HYPERLINK("https://sao.dolgi.msk.ru/account/1404289618/", 1404289618)</f>
        <v>1404289618</v>
      </c>
      <c r="F11636">
        <v>0</v>
      </c>
    </row>
    <row r="11637" spans="1:6" hidden="1" x14ac:dyDescent="0.25">
      <c r="A11637" t="s">
        <v>704</v>
      </c>
      <c r="B11637" t="s">
        <v>610</v>
      </c>
      <c r="E11637" s="3">
        <f>HYPERLINK("https://sao.dolgi.msk.ru/account/1404291697/", 1404291697)</f>
        <v>1404291697</v>
      </c>
      <c r="F11637">
        <v>0</v>
      </c>
    </row>
    <row r="11638" spans="1:6" hidden="1" x14ac:dyDescent="0.25">
      <c r="A11638" t="s">
        <v>704</v>
      </c>
      <c r="B11638" t="s">
        <v>611</v>
      </c>
      <c r="E11638" s="3">
        <f>HYPERLINK("https://sao.dolgi.msk.ru/account/1404287188/", 1404287188)</f>
        <v>1404287188</v>
      </c>
      <c r="F11638">
        <v>0</v>
      </c>
    </row>
    <row r="11639" spans="1:6" hidden="1" x14ac:dyDescent="0.25">
      <c r="A11639" t="s">
        <v>704</v>
      </c>
      <c r="B11639" t="s">
        <v>612</v>
      </c>
      <c r="E11639" s="3">
        <f>HYPERLINK("https://sao.dolgi.msk.ru/account/1404287997/", 1404287997)</f>
        <v>1404287997</v>
      </c>
      <c r="F11639">
        <v>-2408.1</v>
      </c>
    </row>
    <row r="11640" spans="1:6" x14ac:dyDescent="0.25">
      <c r="A11640" t="s">
        <v>704</v>
      </c>
      <c r="B11640" t="s">
        <v>613</v>
      </c>
      <c r="C11640" s="5" t="str">
        <f t="shared" ref="C11640:C11642" si="486">" кв. "&amp;B11640</f>
        <v xml:space="preserve"> кв. 595</v>
      </c>
      <c r="D11640" s="5" t="str">
        <f>CONCATENATE(A11640,C11640)</f>
        <v>Смольная ул., дом 61 к.1 кв. 595</v>
      </c>
      <c r="E11640" s="3">
        <f>HYPERLINK("https://sao.dolgi.msk.ru/account/1404289415/", 1404289415)</f>
        <v>1404289415</v>
      </c>
      <c r="F11640">
        <v>1293.67</v>
      </c>
    </row>
    <row r="11641" spans="1:6" x14ac:dyDescent="0.25">
      <c r="A11641" t="s">
        <v>704</v>
      </c>
      <c r="B11641" t="s">
        <v>614</v>
      </c>
      <c r="C11641" s="5" t="str">
        <f t="shared" si="486"/>
        <v xml:space="preserve"> кв. 596</v>
      </c>
      <c r="D11641" s="5" t="str">
        <f>CONCATENATE(A11641,C11641)</f>
        <v>Смольная ул., дом 61 к.1 кв. 596</v>
      </c>
      <c r="E11641" s="3">
        <f>HYPERLINK("https://sao.dolgi.msk.ru/account/1404289511/", 1404289511)</f>
        <v>1404289511</v>
      </c>
      <c r="F11641">
        <v>2384.9</v>
      </c>
    </row>
    <row r="11642" spans="1:6" x14ac:dyDescent="0.25">
      <c r="A11642" t="s">
        <v>704</v>
      </c>
      <c r="B11642" t="s">
        <v>615</v>
      </c>
      <c r="C11642" s="5" t="str">
        <f t="shared" si="486"/>
        <v xml:space="preserve"> кв. 597</v>
      </c>
      <c r="D11642" s="5" t="str">
        <f>CONCATENATE(A11642,C11642)</f>
        <v>Смольная ул., дом 61 к.1 кв. 597</v>
      </c>
      <c r="E11642" s="3">
        <f>HYPERLINK("https://sao.dolgi.msk.ru/account/1404288949/", 1404288949)</f>
        <v>1404288949</v>
      </c>
      <c r="F11642">
        <v>1654.25</v>
      </c>
    </row>
    <row r="11643" spans="1:6" hidden="1" x14ac:dyDescent="0.25">
      <c r="A11643" t="s">
        <v>704</v>
      </c>
      <c r="B11643" t="s">
        <v>616</v>
      </c>
      <c r="E11643" s="3">
        <f>HYPERLINK("https://sao.dolgi.msk.ru/account/1404289028/", 1404289028)</f>
        <v>1404289028</v>
      </c>
      <c r="F11643">
        <v>-2412.73</v>
      </c>
    </row>
    <row r="11644" spans="1:6" hidden="1" x14ac:dyDescent="0.25">
      <c r="A11644" t="s">
        <v>704</v>
      </c>
      <c r="B11644" t="s">
        <v>617</v>
      </c>
      <c r="E11644" s="3">
        <f>HYPERLINK("https://sao.dolgi.msk.ru/account/1404288666/", 1404288666)</f>
        <v>1404288666</v>
      </c>
      <c r="F11644">
        <v>-935.97</v>
      </c>
    </row>
    <row r="11645" spans="1:6" x14ac:dyDescent="0.25">
      <c r="A11645" t="s">
        <v>704</v>
      </c>
      <c r="B11645" t="s">
        <v>618</v>
      </c>
      <c r="C11645" s="5" t="str">
        <f>" кв. "&amp;B11645</f>
        <v xml:space="preserve"> кв. 600</v>
      </c>
      <c r="D11645" s="5" t="str">
        <f>CONCATENATE(A11645,C11645)</f>
        <v>Смольная ул., дом 61 к.1 кв. 600</v>
      </c>
      <c r="E11645" s="3">
        <f>HYPERLINK("https://sao.dolgi.msk.ru/account/1404286476/", 1404286476)</f>
        <v>1404286476</v>
      </c>
      <c r="F11645">
        <v>2391.23</v>
      </c>
    </row>
    <row r="11646" spans="1:6" hidden="1" x14ac:dyDescent="0.25">
      <c r="A11646" t="s">
        <v>704</v>
      </c>
      <c r="B11646" t="s">
        <v>619</v>
      </c>
      <c r="E11646" s="3">
        <f>HYPERLINK("https://sao.dolgi.msk.ru/account/1404288842/", 1404288842)</f>
        <v>1404288842</v>
      </c>
      <c r="F11646">
        <v>0</v>
      </c>
    </row>
    <row r="11647" spans="1:6" hidden="1" x14ac:dyDescent="0.25">
      <c r="A11647" t="s">
        <v>704</v>
      </c>
      <c r="B11647" t="s">
        <v>620</v>
      </c>
      <c r="E11647" s="3">
        <f>HYPERLINK("https://sao.dolgi.msk.ru/account/1404291523/", 1404291523)</f>
        <v>1404291523</v>
      </c>
      <c r="F11647">
        <v>-1659.33</v>
      </c>
    </row>
    <row r="11648" spans="1:6" hidden="1" x14ac:dyDescent="0.25">
      <c r="A11648" t="s">
        <v>704</v>
      </c>
      <c r="B11648" t="s">
        <v>621</v>
      </c>
      <c r="E11648" s="3">
        <f>HYPERLINK("https://sao.dolgi.msk.ru/account/1404293588/", 1404293588)</f>
        <v>1404293588</v>
      </c>
      <c r="F11648">
        <v>-993.73</v>
      </c>
    </row>
    <row r="11649" spans="1:6" x14ac:dyDescent="0.25">
      <c r="A11649" t="s">
        <v>704</v>
      </c>
      <c r="B11649" t="s">
        <v>622</v>
      </c>
      <c r="C11649" s="5" t="str">
        <f t="shared" ref="C11649:C11650" si="487">" кв. "&amp;B11649</f>
        <v xml:space="preserve"> кв. 604</v>
      </c>
      <c r="D11649" s="5" t="str">
        <f>CONCATENATE(A11649,C11649)</f>
        <v>Смольная ул., дом 61 к.1 кв. 604</v>
      </c>
      <c r="E11649" s="3">
        <f>HYPERLINK("https://sao.dolgi.msk.ru/account/1404291988/", 1404291988)</f>
        <v>1404291988</v>
      </c>
      <c r="F11649">
        <v>2397.5500000000002</v>
      </c>
    </row>
    <row r="11650" spans="1:6" x14ac:dyDescent="0.25">
      <c r="A11650" t="s">
        <v>704</v>
      </c>
      <c r="B11650" t="s">
        <v>623</v>
      </c>
      <c r="C11650" s="5" t="str">
        <f t="shared" si="487"/>
        <v xml:space="preserve"> кв. 605</v>
      </c>
      <c r="D11650" s="5" t="str">
        <f>CONCATENATE(A11650,C11650)</f>
        <v>Смольная ул., дом 61 к.1 кв. 605</v>
      </c>
      <c r="E11650" s="3">
        <f>HYPERLINK("https://sao.dolgi.msk.ru/account/1404286978/", 1404286978)</f>
        <v>1404286978</v>
      </c>
      <c r="F11650">
        <v>1660.58</v>
      </c>
    </row>
    <row r="11651" spans="1:6" hidden="1" x14ac:dyDescent="0.25">
      <c r="A11651" t="s">
        <v>704</v>
      </c>
      <c r="B11651" t="s">
        <v>624</v>
      </c>
      <c r="E11651" s="3">
        <f>HYPERLINK("https://sao.dolgi.msk.ru/account/1404291996/", 1404291996)</f>
        <v>1404291996</v>
      </c>
      <c r="F11651">
        <v>-2417.35</v>
      </c>
    </row>
    <row r="11652" spans="1:6" hidden="1" x14ac:dyDescent="0.25">
      <c r="A11652" t="s">
        <v>704</v>
      </c>
      <c r="B11652" t="s">
        <v>625</v>
      </c>
      <c r="E11652" s="3">
        <f>HYPERLINK("https://sao.dolgi.msk.ru/account/1404290109/", 1404290109)</f>
        <v>1404290109</v>
      </c>
      <c r="F11652">
        <v>0</v>
      </c>
    </row>
    <row r="11653" spans="1:6" hidden="1" x14ac:dyDescent="0.25">
      <c r="A11653" t="s">
        <v>704</v>
      </c>
      <c r="B11653" t="s">
        <v>626</v>
      </c>
      <c r="E11653" s="3">
        <f>HYPERLINK("https://sao.dolgi.msk.ru/account/1404291494/", 1404291494)</f>
        <v>1404291494</v>
      </c>
      <c r="F11653">
        <v>0</v>
      </c>
    </row>
    <row r="11654" spans="1:6" hidden="1" x14ac:dyDescent="0.25">
      <c r="A11654" t="s">
        <v>704</v>
      </c>
      <c r="B11654" t="s">
        <v>627</v>
      </c>
      <c r="E11654" s="3">
        <f>HYPERLINK("https://sao.dolgi.msk.ru/account/1404286142/", 1404286142)</f>
        <v>1404286142</v>
      </c>
      <c r="F11654">
        <v>-2421.9699999999998</v>
      </c>
    </row>
    <row r="11655" spans="1:6" hidden="1" x14ac:dyDescent="0.25">
      <c r="A11655" t="s">
        <v>704</v>
      </c>
      <c r="B11655" t="s">
        <v>628</v>
      </c>
      <c r="E11655" s="3">
        <f>HYPERLINK("https://sao.dolgi.msk.ru/account/1404290336/", 1404290336)</f>
        <v>1404290336</v>
      </c>
      <c r="F11655">
        <v>-1813.01</v>
      </c>
    </row>
    <row r="11656" spans="1:6" hidden="1" x14ac:dyDescent="0.25">
      <c r="A11656" t="s">
        <v>704</v>
      </c>
      <c r="B11656" t="s">
        <v>629</v>
      </c>
      <c r="E11656" s="3">
        <f>HYPERLINK("https://sao.dolgi.msk.ru/account/1404293465/", 1404293465)</f>
        <v>1404293465</v>
      </c>
      <c r="F11656">
        <v>-1885.8</v>
      </c>
    </row>
    <row r="11657" spans="1:6" x14ac:dyDescent="0.25">
      <c r="A11657" t="s">
        <v>704</v>
      </c>
      <c r="B11657" t="s">
        <v>630</v>
      </c>
      <c r="C11657" s="5" t="str">
        <f t="shared" ref="C11657:C11660" si="488">" кв. "&amp;B11657</f>
        <v xml:space="preserve"> кв. 612</v>
      </c>
      <c r="D11657" s="5" t="str">
        <f>CONCATENATE(A11657,C11657)</f>
        <v>Смольная ул., дом 61 к.1 кв. 612</v>
      </c>
      <c r="E11657" s="3">
        <f>HYPERLINK("https://sao.dolgi.msk.ru/account/1404288981/", 1404288981)</f>
        <v>1404288981</v>
      </c>
      <c r="F11657">
        <v>2394.39</v>
      </c>
    </row>
    <row r="11658" spans="1:6" x14ac:dyDescent="0.25">
      <c r="A11658" t="s">
        <v>704</v>
      </c>
      <c r="B11658" t="s">
        <v>631</v>
      </c>
      <c r="C11658" s="5" t="str">
        <f t="shared" si="488"/>
        <v xml:space="preserve"> кв. 613</v>
      </c>
      <c r="D11658" s="5" t="str">
        <f>CONCATENATE(A11658,C11658)</f>
        <v>Смольная ул., дом 61 к.1 кв. 613</v>
      </c>
      <c r="E11658" s="3">
        <f>HYPERLINK("https://sao.dolgi.msk.ru/account/1404292534/", 1404292534)</f>
        <v>1404292534</v>
      </c>
      <c r="F11658">
        <v>1663.74</v>
      </c>
    </row>
    <row r="11659" spans="1:6" x14ac:dyDescent="0.25">
      <c r="A11659" t="s">
        <v>704</v>
      </c>
      <c r="B11659" t="s">
        <v>632</v>
      </c>
      <c r="C11659" s="5" t="str">
        <f t="shared" si="488"/>
        <v xml:space="preserve"> кв. 614</v>
      </c>
      <c r="D11659" s="5" t="str">
        <f>CONCATENATE(A11659,C11659)</f>
        <v>Смольная ул., дом 61 к.1 кв. 614</v>
      </c>
      <c r="E11659" s="3">
        <f>HYPERLINK("https://sao.dolgi.msk.ru/account/1404287823/", 1404287823)</f>
        <v>1404287823</v>
      </c>
      <c r="F11659">
        <v>1660.58</v>
      </c>
    </row>
    <row r="11660" spans="1:6" x14ac:dyDescent="0.25">
      <c r="A11660" t="s">
        <v>704</v>
      </c>
      <c r="B11660" t="s">
        <v>633</v>
      </c>
      <c r="C11660" s="5" t="str">
        <f t="shared" si="488"/>
        <v xml:space="preserve"> кв. 615</v>
      </c>
      <c r="D11660" s="5" t="str">
        <f>CONCATENATE(A11660,C11660)</f>
        <v>Смольная ул., дом 61 к.1 кв. 615</v>
      </c>
      <c r="E11660" s="3">
        <f>HYPERLINK("https://sao.dolgi.msk.ru/account/1404289888/", 1404289888)</f>
        <v>1404289888</v>
      </c>
      <c r="F11660">
        <v>1287.3399999999999</v>
      </c>
    </row>
    <row r="11661" spans="1:6" hidden="1" x14ac:dyDescent="0.25">
      <c r="A11661" t="s">
        <v>704</v>
      </c>
      <c r="B11661" t="s">
        <v>634</v>
      </c>
      <c r="E11661" s="3">
        <f>HYPERLINK("https://sao.dolgi.msk.ru/account/1404293262/", 1404293262)</f>
        <v>1404293262</v>
      </c>
      <c r="F11661">
        <v>-1100.1400000000001</v>
      </c>
    </row>
    <row r="11662" spans="1:6" x14ac:dyDescent="0.25">
      <c r="A11662" t="s">
        <v>704</v>
      </c>
      <c r="B11662" t="s">
        <v>635</v>
      </c>
      <c r="C11662" s="5" t="str">
        <f>" кв. "&amp;B11662</f>
        <v xml:space="preserve"> кв. 617</v>
      </c>
      <c r="D11662" s="5" t="str">
        <f>CONCATENATE(A11662,C11662)</f>
        <v>Смольная ул., дом 61 к.1 кв. 617</v>
      </c>
      <c r="E11662" s="3">
        <f>HYPERLINK("https://sao.dolgi.msk.ru/account/1404292729/", 1404292729)</f>
        <v>1404292729</v>
      </c>
      <c r="F11662">
        <v>1663.74</v>
      </c>
    </row>
    <row r="11663" spans="1:6" hidden="1" x14ac:dyDescent="0.25">
      <c r="A11663" t="s">
        <v>704</v>
      </c>
      <c r="B11663" t="s">
        <v>636</v>
      </c>
      <c r="E11663" s="3">
        <f>HYPERLINK("https://sao.dolgi.msk.ru/account/1404290395/", 1404290395)</f>
        <v>1404290395</v>
      </c>
      <c r="F11663">
        <v>-1208.69</v>
      </c>
    </row>
    <row r="11664" spans="1:6" hidden="1" x14ac:dyDescent="0.25">
      <c r="A11664" t="s">
        <v>704</v>
      </c>
      <c r="B11664" t="s">
        <v>637</v>
      </c>
      <c r="E11664" s="3">
        <f>HYPERLINK("https://sao.dolgi.msk.ru/account/1404291785/", 1404291785)</f>
        <v>1404291785</v>
      </c>
      <c r="F11664">
        <v>0</v>
      </c>
    </row>
    <row r="11665" spans="1:6" hidden="1" x14ac:dyDescent="0.25">
      <c r="A11665" t="s">
        <v>704</v>
      </c>
      <c r="B11665" t="s">
        <v>638</v>
      </c>
      <c r="E11665" s="3">
        <f>HYPERLINK("https://sao.dolgi.msk.ru/account/1404293369/", 1404293369)</f>
        <v>1404293369</v>
      </c>
      <c r="F11665">
        <v>-3480.42</v>
      </c>
    </row>
    <row r="11666" spans="1:6" hidden="1" x14ac:dyDescent="0.25">
      <c r="A11666" t="s">
        <v>705</v>
      </c>
      <c r="B11666" t="s">
        <v>5</v>
      </c>
      <c r="E11666" s="3">
        <f>HYPERLINK("https://sao.dolgi.msk.ru/account/1404130332/", 1404130332)</f>
        <v>1404130332</v>
      </c>
      <c r="F11666">
        <v>-6383.97</v>
      </c>
    </row>
    <row r="11667" spans="1:6" hidden="1" x14ac:dyDescent="0.25">
      <c r="A11667" t="s">
        <v>705</v>
      </c>
      <c r="B11667" t="s">
        <v>6</v>
      </c>
      <c r="E11667" s="3">
        <f>HYPERLINK("https://sao.dolgi.msk.ru/account/1404130447/", 1404130447)</f>
        <v>1404130447</v>
      </c>
      <c r="F11667">
        <v>-3100.37</v>
      </c>
    </row>
    <row r="11668" spans="1:6" hidden="1" x14ac:dyDescent="0.25">
      <c r="A11668" t="s">
        <v>705</v>
      </c>
      <c r="B11668" t="s">
        <v>7</v>
      </c>
      <c r="E11668" s="3">
        <f>HYPERLINK("https://sao.dolgi.msk.ru/account/1404130156/", 1404130156)</f>
        <v>1404130156</v>
      </c>
      <c r="F11668">
        <v>-2224.35</v>
      </c>
    </row>
    <row r="11669" spans="1:6" hidden="1" x14ac:dyDescent="0.25">
      <c r="A11669" t="s">
        <v>705</v>
      </c>
      <c r="B11669" t="s">
        <v>8</v>
      </c>
      <c r="E11669" s="3">
        <f>HYPERLINK("https://sao.dolgi.msk.ru/account/1404131482/", 1404131482)</f>
        <v>1404131482</v>
      </c>
      <c r="F11669">
        <v>-2498.0100000000002</v>
      </c>
    </row>
    <row r="11670" spans="1:6" hidden="1" x14ac:dyDescent="0.25">
      <c r="A11670" t="s">
        <v>705</v>
      </c>
      <c r="B11670" t="s">
        <v>9</v>
      </c>
      <c r="E11670" s="3">
        <f>HYPERLINK("https://sao.dolgi.msk.ru/account/1404131992/", 1404131992)</f>
        <v>1404131992</v>
      </c>
      <c r="F11670">
        <v>-4307.03</v>
      </c>
    </row>
    <row r="11671" spans="1:6" hidden="1" x14ac:dyDescent="0.25">
      <c r="A11671" t="s">
        <v>705</v>
      </c>
      <c r="B11671" t="s">
        <v>10</v>
      </c>
      <c r="E11671" s="3">
        <f>HYPERLINK("https://sao.dolgi.msk.ru/account/1404130244/", 1404130244)</f>
        <v>1404130244</v>
      </c>
      <c r="F11671">
        <v>-6423.44</v>
      </c>
    </row>
    <row r="11672" spans="1:6" hidden="1" x14ac:dyDescent="0.25">
      <c r="A11672" t="s">
        <v>705</v>
      </c>
      <c r="B11672" t="s">
        <v>11</v>
      </c>
      <c r="E11672" s="3">
        <f>HYPERLINK("https://sao.dolgi.msk.ru/account/1404131095/", 1404131095)</f>
        <v>1404131095</v>
      </c>
      <c r="F11672">
        <v>0</v>
      </c>
    </row>
    <row r="11673" spans="1:6" hidden="1" x14ac:dyDescent="0.25">
      <c r="A11673" t="s">
        <v>705</v>
      </c>
      <c r="B11673" t="s">
        <v>12</v>
      </c>
      <c r="E11673" s="3">
        <f>HYPERLINK("https://sao.dolgi.msk.ru/account/1404131116/", 1404131116)</f>
        <v>1404131116</v>
      </c>
      <c r="F11673">
        <v>-4786.3500000000004</v>
      </c>
    </row>
    <row r="11674" spans="1:6" x14ac:dyDescent="0.25">
      <c r="A11674" t="s">
        <v>705</v>
      </c>
      <c r="B11674" t="s">
        <v>13</v>
      </c>
      <c r="C11674" s="5" t="str">
        <f>" кв. "&amp;B11674</f>
        <v xml:space="preserve"> кв. 9</v>
      </c>
      <c r="D11674" s="5" t="str">
        <f>CONCATENATE(A11674,C11674)</f>
        <v>Смольная ул., дом 63 кв. 9</v>
      </c>
      <c r="E11674" s="3">
        <f>HYPERLINK("https://sao.dolgi.msk.ru/account/1404130818/", 1404130818)</f>
        <v>1404130818</v>
      </c>
      <c r="F11674">
        <v>1110.8599999999999</v>
      </c>
    </row>
    <row r="11675" spans="1:6" hidden="1" x14ac:dyDescent="0.25">
      <c r="A11675" t="s">
        <v>705</v>
      </c>
      <c r="B11675" t="s">
        <v>14</v>
      </c>
      <c r="E11675" s="3">
        <f>HYPERLINK("https://sao.dolgi.msk.ru/account/1404130009/", 1404130009)</f>
        <v>1404130009</v>
      </c>
      <c r="F11675">
        <v>0</v>
      </c>
    </row>
    <row r="11676" spans="1:6" hidden="1" x14ac:dyDescent="0.25">
      <c r="A11676" t="s">
        <v>705</v>
      </c>
      <c r="B11676" t="s">
        <v>15</v>
      </c>
      <c r="E11676" s="3">
        <f>HYPERLINK("https://sao.dolgi.msk.ru/account/1404130877/", 1404130877)</f>
        <v>1404130877</v>
      </c>
      <c r="F11676">
        <v>0</v>
      </c>
    </row>
    <row r="11677" spans="1:6" hidden="1" x14ac:dyDescent="0.25">
      <c r="A11677" t="s">
        <v>705</v>
      </c>
      <c r="B11677" t="s">
        <v>16</v>
      </c>
      <c r="E11677" s="3">
        <f>HYPERLINK("https://sao.dolgi.msk.ru/account/1404130623/", 1404130623)</f>
        <v>1404130623</v>
      </c>
      <c r="F11677">
        <v>0</v>
      </c>
    </row>
    <row r="11678" spans="1:6" hidden="1" x14ac:dyDescent="0.25">
      <c r="A11678" t="s">
        <v>705</v>
      </c>
      <c r="B11678" t="s">
        <v>17</v>
      </c>
      <c r="E11678" s="3">
        <f>HYPERLINK("https://sao.dolgi.msk.ru/account/1404130068/", 1404130068)</f>
        <v>1404130068</v>
      </c>
      <c r="F11678">
        <v>-1738.2</v>
      </c>
    </row>
    <row r="11679" spans="1:6" hidden="1" x14ac:dyDescent="0.25">
      <c r="A11679" t="s">
        <v>705</v>
      </c>
      <c r="B11679" t="s">
        <v>18</v>
      </c>
      <c r="E11679" s="3">
        <f>HYPERLINK("https://sao.dolgi.msk.ru/account/1404131861/", 1404131861)</f>
        <v>1404131861</v>
      </c>
      <c r="F11679">
        <v>-8201.25</v>
      </c>
    </row>
    <row r="11680" spans="1:6" hidden="1" x14ac:dyDescent="0.25">
      <c r="A11680" t="s">
        <v>705</v>
      </c>
      <c r="B11680" t="s">
        <v>19</v>
      </c>
      <c r="E11680" s="3">
        <f>HYPERLINK("https://sao.dolgi.msk.ru/account/1404131685/", 1404131685)</f>
        <v>1404131685</v>
      </c>
      <c r="F11680">
        <v>-4377.1899999999996</v>
      </c>
    </row>
    <row r="11681" spans="1:6" hidden="1" x14ac:dyDescent="0.25">
      <c r="A11681" t="s">
        <v>705</v>
      </c>
      <c r="B11681" t="s">
        <v>20</v>
      </c>
      <c r="E11681" s="3">
        <f>HYPERLINK("https://sao.dolgi.msk.ru/account/1404131917/", 1404131917)</f>
        <v>1404131917</v>
      </c>
      <c r="F11681">
        <v>-3831.18</v>
      </c>
    </row>
    <row r="11682" spans="1:6" hidden="1" x14ac:dyDescent="0.25">
      <c r="A11682" t="s">
        <v>705</v>
      </c>
      <c r="B11682" t="s">
        <v>21</v>
      </c>
      <c r="E11682" s="3">
        <f>HYPERLINK("https://sao.dolgi.msk.ru/account/1404130412/", 1404130412)</f>
        <v>1404130412</v>
      </c>
      <c r="F11682">
        <v>-3558.97</v>
      </c>
    </row>
    <row r="11683" spans="1:6" x14ac:dyDescent="0.25">
      <c r="A11683" t="s">
        <v>705</v>
      </c>
      <c r="B11683" t="s">
        <v>22</v>
      </c>
      <c r="C11683" s="5" t="str">
        <f>" кв. "&amp;B11683</f>
        <v xml:space="preserve"> кв. 18</v>
      </c>
      <c r="D11683" s="5" t="str">
        <f>CONCATENATE(A11683,C11683)</f>
        <v>Смольная ул., дом 63 кв. 18</v>
      </c>
      <c r="E11683" s="3">
        <f>HYPERLINK("https://sao.dolgi.msk.ru/account/1404131386/", 1404131386)</f>
        <v>1404131386</v>
      </c>
      <c r="F11683">
        <v>19482.150000000001</v>
      </c>
    </row>
    <row r="11684" spans="1:6" hidden="1" x14ac:dyDescent="0.25">
      <c r="A11684" t="s">
        <v>705</v>
      </c>
      <c r="B11684" t="s">
        <v>23</v>
      </c>
      <c r="E11684" s="3">
        <f>HYPERLINK("https://sao.dolgi.msk.ru/account/1404131167/", 1404131167)</f>
        <v>1404131167</v>
      </c>
      <c r="F11684">
        <v>0</v>
      </c>
    </row>
    <row r="11685" spans="1:6" hidden="1" x14ac:dyDescent="0.25">
      <c r="A11685" t="s">
        <v>705</v>
      </c>
      <c r="B11685" t="s">
        <v>23</v>
      </c>
      <c r="E11685" s="3">
        <f>HYPERLINK("https://sao.dolgi.msk.ru/account/1404131407/", 1404131407)</f>
        <v>1404131407</v>
      </c>
      <c r="F11685">
        <v>-392.94</v>
      </c>
    </row>
    <row r="11686" spans="1:6" hidden="1" x14ac:dyDescent="0.25">
      <c r="A11686" t="s">
        <v>705</v>
      </c>
      <c r="B11686" t="s">
        <v>24</v>
      </c>
      <c r="E11686" s="3">
        <f>HYPERLINK("https://sao.dolgi.msk.ru/account/1404131001/", 1404131001)</f>
        <v>1404131001</v>
      </c>
      <c r="F11686">
        <v>-5273.15</v>
      </c>
    </row>
    <row r="11687" spans="1:6" hidden="1" x14ac:dyDescent="0.25">
      <c r="A11687" t="s">
        <v>705</v>
      </c>
      <c r="B11687" t="s">
        <v>25</v>
      </c>
      <c r="E11687" s="3">
        <f>HYPERLINK("https://sao.dolgi.msk.ru/account/1404131028/", 1404131028)</f>
        <v>1404131028</v>
      </c>
      <c r="F11687">
        <v>-2880.36</v>
      </c>
    </row>
    <row r="11688" spans="1:6" hidden="1" x14ac:dyDescent="0.25">
      <c r="A11688" t="s">
        <v>705</v>
      </c>
      <c r="B11688" t="s">
        <v>26</v>
      </c>
      <c r="E11688" s="3">
        <f>HYPERLINK("https://sao.dolgi.msk.ru/account/1404130121/", 1404130121)</f>
        <v>1404130121</v>
      </c>
      <c r="F11688">
        <v>-3080.96</v>
      </c>
    </row>
    <row r="11689" spans="1:6" hidden="1" x14ac:dyDescent="0.25">
      <c r="A11689" t="s">
        <v>705</v>
      </c>
      <c r="B11689" t="s">
        <v>27</v>
      </c>
      <c r="E11689" s="3">
        <f>HYPERLINK("https://sao.dolgi.msk.ru/account/1404131036/", 1404131036)</f>
        <v>1404131036</v>
      </c>
      <c r="F11689">
        <v>-3813.02</v>
      </c>
    </row>
    <row r="11690" spans="1:6" hidden="1" x14ac:dyDescent="0.25">
      <c r="A11690" t="s">
        <v>705</v>
      </c>
      <c r="B11690" t="s">
        <v>28</v>
      </c>
      <c r="E11690" s="3">
        <f>HYPERLINK("https://sao.dolgi.msk.ru/account/1404130738/", 1404130738)</f>
        <v>1404130738</v>
      </c>
      <c r="F11690">
        <v>-5520.04</v>
      </c>
    </row>
    <row r="11691" spans="1:6" hidden="1" x14ac:dyDescent="0.25">
      <c r="A11691" t="s">
        <v>705</v>
      </c>
      <c r="B11691" t="s">
        <v>29</v>
      </c>
      <c r="E11691" s="3">
        <f>HYPERLINK("https://sao.dolgi.msk.ru/account/1404130148/", 1404130148)</f>
        <v>1404130148</v>
      </c>
      <c r="F11691">
        <v>-343.4</v>
      </c>
    </row>
    <row r="11692" spans="1:6" hidden="1" x14ac:dyDescent="0.25">
      <c r="A11692" t="s">
        <v>705</v>
      </c>
      <c r="B11692" t="s">
        <v>30</v>
      </c>
      <c r="E11692" s="3">
        <f>HYPERLINK("https://sao.dolgi.msk.ru/account/1404131933/", 1404131933)</f>
        <v>1404131933</v>
      </c>
      <c r="F11692">
        <v>-272.77</v>
      </c>
    </row>
    <row r="11693" spans="1:6" hidden="1" x14ac:dyDescent="0.25">
      <c r="A11693" t="s">
        <v>705</v>
      </c>
      <c r="B11693" t="s">
        <v>31</v>
      </c>
      <c r="E11693" s="3">
        <f>HYPERLINK("https://sao.dolgi.msk.ru/account/1404131415/", 1404131415)</f>
        <v>1404131415</v>
      </c>
      <c r="F11693">
        <v>-5400.04</v>
      </c>
    </row>
    <row r="11694" spans="1:6" hidden="1" x14ac:dyDescent="0.25">
      <c r="A11694" t="s">
        <v>705</v>
      </c>
      <c r="B11694" t="s">
        <v>32</v>
      </c>
      <c r="E11694" s="3">
        <f>HYPERLINK("https://sao.dolgi.msk.ru/account/1404130455/", 1404130455)</f>
        <v>1404130455</v>
      </c>
      <c r="F11694">
        <v>-6378.55</v>
      </c>
    </row>
    <row r="11695" spans="1:6" x14ac:dyDescent="0.25">
      <c r="A11695" t="s">
        <v>705</v>
      </c>
      <c r="B11695" t="s">
        <v>33</v>
      </c>
      <c r="C11695" s="5" t="str">
        <f>" кв. "&amp;B11695</f>
        <v xml:space="preserve"> кв. 29</v>
      </c>
      <c r="D11695" s="5" t="str">
        <f>CONCATENATE(A11695,C11695)</f>
        <v>Смольная ул., дом 63 кв. 29</v>
      </c>
      <c r="E11695" s="3">
        <f>HYPERLINK("https://sao.dolgi.msk.ru/account/1404130463/", 1404130463)</f>
        <v>1404130463</v>
      </c>
      <c r="F11695">
        <v>125199.17</v>
      </c>
    </row>
    <row r="11696" spans="1:6" hidden="1" x14ac:dyDescent="0.25">
      <c r="A11696" t="s">
        <v>705</v>
      </c>
      <c r="B11696" t="s">
        <v>34</v>
      </c>
      <c r="E11696" s="3">
        <f>HYPERLINK("https://sao.dolgi.msk.ru/account/1404131941/", 1404131941)</f>
        <v>1404131941</v>
      </c>
      <c r="F11696">
        <v>-4407.29</v>
      </c>
    </row>
    <row r="11697" spans="1:6" hidden="1" x14ac:dyDescent="0.25">
      <c r="A11697" t="s">
        <v>705</v>
      </c>
      <c r="B11697" t="s">
        <v>35</v>
      </c>
      <c r="E11697" s="3">
        <f>HYPERLINK("https://sao.dolgi.msk.ru/account/1404130471/", 1404130471)</f>
        <v>1404130471</v>
      </c>
      <c r="F11697">
        <v>-949.08</v>
      </c>
    </row>
    <row r="11698" spans="1:6" hidden="1" x14ac:dyDescent="0.25">
      <c r="A11698" t="s">
        <v>705</v>
      </c>
      <c r="B11698" t="s">
        <v>35</v>
      </c>
      <c r="E11698" s="3">
        <f>HYPERLINK("https://sao.dolgi.msk.ru/account/1404131423/", 1404131423)</f>
        <v>1404131423</v>
      </c>
      <c r="F11698">
        <v>-9691.5400000000009</v>
      </c>
    </row>
    <row r="11699" spans="1:6" hidden="1" x14ac:dyDescent="0.25">
      <c r="A11699" t="s">
        <v>705</v>
      </c>
      <c r="B11699" t="s">
        <v>36</v>
      </c>
      <c r="E11699" s="3">
        <f>HYPERLINK("https://sao.dolgi.msk.ru/account/1404131431/", 1404131431)</f>
        <v>1404131431</v>
      </c>
      <c r="F11699">
        <v>0</v>
      </c>
    </row>
    <row r="11700" spans="1:6" hidden="1" x14ac:dyDescent="0.25">
      <c r="A11700" t="s">
        <v>705</v>
      </c>
      <c r="B11700" t="s">
        <v>37</v>
      </c>
      <c r="E11700" s="3">
        <f>HYPERLINK("https://sao.dolgi.msk.ru/account/1404129841/", 1404129841)</f>
        <v>1404129841</v>
      </c>
      <c r="F11700">
        <v>-3085.7</v>
      </c>
    </row>
    <row r="11701" spans="1:6" hidden="1" x14ac:dyDescent="0.25">
      <c r="A11701" t="s">
        <v>705</v>
      </c>
      <c r="B11701" t="s">
        <v>38</v>
      </c>
      <c r="E11701" s="3">
        <f>HYPERLINK("https://sao.dolgi.msk.ru/account/1404131458/", 1404131458)</f>
        <v>1404131458</v>
      </c>
      <c r="F11701">
        <v>-4452.99</v>
      </c>
    </row>
    <row r="11702" spans="1:6" hidden="1" x14ac:dyDescent="0.25">
      <c r="A11702" t="s">
        <v>705</v>
      </c>
      <c r="B11702" t="s">
        <v>39</v>
      </c>
      <c r="E11702" s="3">
        <f>HYPERLINK("https://sao.dolgi.msk.ru/account/1404131968/", 1404131968)</f>
        <v>1404131968</v>
      </c>
      <c r="F11702">
        <v>-2568.63</v>
      </c>
    </row>
    <row r="11703" spans="1:6" hidden="1" x14ac:dyDescent="0.25">
      <c r="A11703" t="s">
        <v>705</v>
      </c>
      <c r="B11703" t="s">
        <v>40</v>
      </c>
      <c r="E11703" s="3">
        <f>HYPERLINK("https://sao.dolgi.msk.ru/account/1404131044/", 1404131044)</f>
        <v>1404131044</v>
      </c>
      <c r="F11703">
        <v>-5488.74</v>
      </c>
    </row>
    <row r="11704" spans="1:6" hidden="1" x14ac:dyDescent="0.25">
      <c r="A11704" t="s">
        <v>705</v>
      </c>
      <c r="B11704" t="s">
        <v>41</v>
      </c>
      <c r="E11704" s="3">
        <f>HYPERLINK("https://sao.dolgi.msk.ru/account/1404131466/", 1404131466)</f>
        <v>1404131466</v>
      </c>
      <c r="F11704">
        <v>-2181.67</v>
      </c>
    </row>
    <row r="11705" spans="1:6" hidden="1" x14ac:dyDescent="0.25">
      <c r="A11705" t="s">
        <v>705</v>
      </c>
      <c r="B11705" t="s">
        <v>42</v>
      </c>
      <c r="E11705" s="3">
        <f>HYPERLINK("https://sao.dolgi.msk.ru/account/1404131052/", 1404131052)</f>
        <v>1404131052</v>
      </c>
      <c r="F11705">
        <v>-4551.8500000000004</v>
      </c>
    </row>
    <row r="11706" spans="1:6" hidden="1" x14ac:dyDescent="0.25">
      <c r="A11706" t="s">
        <v>705</v>
      </c>
      <c r="B11706" t="s">
        <v>43</v>
      </c>
      <c r="E11706" s="3">
        <f>HYPERLINK("https://sao.dolgi.msk.ru/account/1404131474/", 1404131474)</f>
        <v>1404131474</v>
      </c>
      <c r="F11706">
        <v>-9664.8799999999992</v>
      </c>
    </row>
    <row r="11707" spans="1:6" hidden="1" x14ac:dyDescent="0.25">
      <c r="A11707" t="s">
        <v>705</v>
      </c>
      <c r="B11707" t="s">
        <v>44</v>
      </c>
      <c r="E11707" s="3">
        <f>HYPERLINK("https://sao.dolgi.msk.ru/account/1404131722/", 1404131722)</f>
        <v>1404131722</v>
      </c>
      <c r="F11707">
        <v>-1154.0999999999999</v>
      </c>
    </row>
    <row r="11708" spans="1:6" hidden="1" x14ac:dyDescent="0.25">
      <c r="A11708" t="s">
        <v>705</v>
      </c>
      <c r="B11708" t="s">
        <v>45</v>
      </c>
      <c r="E11708" s="3">
        <f>HYPERLINK("https://sao.dolgi.msk.ru/account/1404129868/", 1404129868)</f>
        <v>1404129868</v>
      </c>
      <c r="F11708">
        <v>-3487.83</v>
      </c>
    </row>
    <row r="11709" spans="1:6" x14ac:dyDescent="0.25">
      <c r="A11709" t="s">
        <v>705</v>
      </c>
      <c r="B11709" t="s">
        <v>46</v>
      </c>
      <c r="C11709" s="5" t="str">
        <f>" кв. "&amp;B11709</f>
        <v xml:space="preserve"> кв. 42</v>
      </c>
      <c r="D11709" s="5" t="str">
        <f>CONCATENATE(A11709,C11709)</f>
        <v>Смольная ул., дом 63 кв. 42</v>
      </c>
      <c r="E11709" s="3">
        <f>HYPERLINK("https://sao.dolgi.msk.ru/account/1404130498/", 1404130498)</f>
        <v>1404130498</v>
      </c>
      <c r="F11709">
        <v>2215.0100000000002</v>
      </c>
    </row>
    <row r="11710" spans="1:6" hidden="1" x14ac:dyDescent="0.25">
      <c r="A11710" t="s">
        <v>705</v>
      </c>
      <c r="B11710" t="s">
        <v>47</v>
      </c>
      <c r="E11710" s="3">
        <f>HYPERLINK("https://sao.dolgi.msk.ru/account/1404130164/", 1404130164)</f>
        <v>1404130164</v>
      </c>
      <c r="F11710">
        <v>-7760.71</v>
      </c>
    </row>
    <row r="11711" spans="1:6" hidden="1" x14ac:dyDescent="0.25">
      <c r="A11711" t="s">
        <v>705</v>
      </c>
      <c r="B11711" t="s">
        <v>48</v>
      </c>
      <c r="E11711" s="3">
        <f>HYPERLINK("https://sao.dolgi.msk.ru/account/1404130172/", 1404130172)</f>
        <v>1404130172</v>
      </c>
      <c r="F11711">
        <v>0</v>
      </c>
    </row>
    <row r="11712" spans="1:6" hidden="1" x14ac:dyDescent="0.25">
      <c r="A11712" t="s">
        <v>705</v>
      </c>
      <c r="B11712" t="s">
        <v>49</v>
      </c>
      <c r="E11712" s="3">
        <f>HYPERLINK("https://sao.dolgi.msk.ru/account/1404129876/", 1404129876)</f>
        <v>1404129876</v>
      </c>
      <c r="F11712">
        <v>-4408.51</v>
      </c>
    </row>
    <row r="11713" spans="1:6" x14ac:dyDescent="0.25">
      <c r="A11713" t="s">
        <v>705</v>
      </c>
      <c r="B11713" t="s">
        <v>50</v>
      </c>
      <c r="C11713" s="5" t="str">
        <f t="shared" ref="C11713:C11714" si="489">" кв. "&amp;B11713</f>
        <v xml:space="preserve"> кв. 46</v>
      </c>
      <c r="D11713" s="5" t="str">
        <f>CONCATENATE(A11713,C11713)</f>
        <v>Смольная ул., дом 63 кв. 46</v>
      </c>
      <c r="E11713" s="3">
        <f>HYPERLINK("https://sao.dolgi.msk.ru/account/1404130199/", 1404130199)</f>
        <v>1404130199</v>
      </c>
      <c r="F11713">
        <v>15414.27</v>
      </c>
    </row>
    <row r="11714" spans="1:6" x14ac:dyDescent="0.25">
      <c r="A11714" t="s">
        <v>705</v>
      </c>
      <c r="B11714" t="s">
        <v>51</v>
      </c>
      <c r="C11714" s="5" t="str">
        <f t="shared" si="489"/>
        <v xml:space="preserve"> кв. 47</v>
      </c>
      <c r="D11714" s="5" t="str">
        <f>CONCATENATE(A11714,C11714)</f>
        <v>Смольная ул., дом 63 кв. 47</v>
      </c>
      <c r="E11714" s="3">
        <f>HYPERLINK("https://sao.dolgi.msk.ru/account/1404131976/", 1404131976)</f>
        <v>1404131976</v>
      </c>
      <c r="F11714">
        <v>51562.6</v>
      </c>
    </row>
    <row r="11715" spans="1:6" hidden="1" x14ac:dyDescent="0.25">
      <c r="A11715" t="s">
        <v>705</v>
      </c>
      <c r="B11715" t="s">
        <v>52</v>
      </c>
      <c r="E11715" s="3">
        <f>HYPERLINK("https://sao.dolgi.msk.ru/account/1404131984/", 1404131984)</f>
        <v>1404131984</v>
      </c>
      <c r="F11715">
        <v>-4584.29</v>
      </c>
    </row>
    <row r="11716" spans="1:6" hidden="1" x14ac:dyDescent="0.25">
      <c r="A11716" t="s">
        <v>705</v>
      </c>
      <c r="B11716" t="s">
        <v>53</v>
      </c>
      <c r="E11716" s="3">
        <f>HYPERLINK("https://sao.dolgi.msk.ru/account/1404130519/", 1404130519)</f>
        <v>1404130519</v>
      </c>
      <c r="F11716">
        <v>-5291.64</v>
      </c>
    </row>
    <row r="11717" spans="1:6" hidden="1" x14ac:dyDescent="0.25">
      <c r="A11717" t="s">
        <v>705</v>
      </c>
      <c r="B11717" t="s">
        <v>54</v>
      </c>
      <c r="E11717" s="3">
        <f>HYPERLINK("https://sao.dolgi.msk.ru/account/1404130201/", 1404130201)</f>
        <v>1404130201</v>
      </c>
      <c r="F11717">
        <v>-954.61</v>
      </c>
    </row>
    <row r="11718" spans="1:6" hidden="1" x14ac:dyDescent="0.25">
      <c r="A11718" t="s">
        <v>705</v>
      </c>
      <c r="B11718" t="s">
        <v>54</v>
      </c>
      <c r="E11718" s="3">
        <f>HYPERLINK("https://sao.dolgi.msk.ru/account/1404130834/", 1404130834)</f>
        <v>1404130834</v>
      </c>
      <c r="F11718">
        <v>-4551.37</v>
      </c>
    </row>
    <row r="11719" spans="1:6" hidden="1" x14ac:dyDescent="0.25">
      <c r="A11719" t="s">
        <v>705</v>
      </c>
      <c r="B11719" t="s">
        <v>55</v>
      </c>
      <c r="E11719" s="3">
        <f>HYPERLINK("https://sao.dolgi.msk.ru/account/1404132004/", 1404132004)</f>
        <v>1404132004</v>
      </c>
      <c r="F11719">
        <v>0</v>
      </c>
    </row>
    <row r="11720" spans="1:6" hidden="1" x14ac:dyDescent="0.25">
      <c r="A11720" t="s">
        <v>705</v>
      </c>
      <c r="B11720" t="s">
        <v>56</v>
      </c>
      <c r="E11720" s="3">
        <f>HYPERLINK("https://sao.dolgi.msk.ru/account/1404130746/", 1404130746)</f>
        <v>1404130746</v>
      </c>
      <c r="F11720">
        <v>-2964.17</v>
      </c>
    </row>
    <row r="11721" spans="1:6" x14ac:dyDescent="0.25">
      <c r="A11721" t="s">
        <v>705</v>
      </c>
      <c r="B11721" t="s">
        <v>57</v>
      </c>
      <c r="C11721" s="5" t="str">
        <f>" кв. "&amp;B11721</f>
        <v xml:space="preserve"> кв. 53</v>
      </c>
      <c r="D11721" s="5" t="str">
        <f>CONCATENATE(A11721,C11721)</f>
        <v>Смольная ул., дом 63 кв. 53</v>
      </c>
      <c r="E11721" s="3">
        <f>HYPERLINK("https://sao.dolgi.msk.ru/account/1404129884/", 1404129884)</f>
        <v>1404129884</v>
      </c>
      <c r="F11721">
        <v>4631.0200000000004</v>
      </c>
    </row>
    <row r="11722" spans="1:6" hidden="1" x14ac:dyDescent="0.25">
      <c r="A11722" t="s">
        <v>705</v>
      </c>
      <c r="B11722" t="s">
        <v>58</v>
      </c>
      <c r="E11722" s="3">
        <f>HYPERLINK("https://sao.dolgi.msk.ru/account/1404130228/", 1404130228)</f>
        <v>1404130228</v>
      </c>
      <c r="F11722">
        <v>-3842.07</v>
      </c>
    </row>
    <row r="11723" spans="1:6" hidden="1" x14ac:dyDescent="0.25">
      <c r="A11723" t="s">
        <v>705</v>
      </c>
      <c r="B11723" t="s">
        <v>59</v>
      </c>
      <c r="E11723" s="3">
        <f>HYPERLINK("https://sao.dolgi.msk.ru/account/1404131079/", 1404131079)</f>
        <v>1404131079</v>
      </c>
      <c r="F11723">
        <v>0</v>
      </c>
    </row>
    <row r="11724" spans="1:6" hidden="1" x14ac:dyDescent="0.25">
      <c r="A11724" t="s">
        <v>705</v>
      </c>
      <c r="B11724" t="s">
        <v>60</v>
      </c>
      <c r="E11724" s="3">
        <f>HYPERLINK("https://sao.dolgi.msk.ru/account/1404132012/", 1404132012)</f>
        <v>1404132012</v>
      </c>
      <c r="F11724">
        <v>-2624.07</v>
      </c>
    </row>
    <row r="11725" spans="1:6" hidden="1" x14ac:dyDescent="0.25">
      <c r="A11725" t="s">
        <v>705</v>
      </c>
      <c r="B11725" t="s">
        <v>61</v>
      </c>
      <c r="E11725" s="3">
        <f>HYPERLINK("https://sao.dolgi.msk.ru/account/1404130236/", 1404130236)</f>
        <v>1404130236</v>
      </c>
      <c r="F11725">
        <v>-6169.57</v>
      </c>
    </row>
    <row r="11726" spans="1:6" hidden="1" x14ac:dyDescent="0.25">
      <c r="A11726" t="s">
        <v>705</v>
      </c>
      <c r="B11726" t="s">
        <v>62</v>
      </c>
      <c r="E11726" s="3">
        <f>HYPERLINK("https://sao.dolgi.msk.ru/account/1404131087/", 1404131087)</f>
        <v>1404131087</v>
      </c>
      <c r="F11726">
        <v>-5201.5600000000004</v>
      </c>
    </row>
    <row r="11727" spans="1:6" hidden="1" x14ac:dyDescent="0.25">
      <c r="A11727" t="s">
        <v>705</v>
      </c>
      <c r="B11727" t="s">
        <v>63</v>
      </c>
      <c r="E11727" s="3">
        <f>HYPERLINK("https://sao.dolgi.msk.ru/account/1404129892/", 1404129892)</f>
        <v>1404129892</v>
      </c>
      <c r="F11727">
        <v>-2785.91</v>
      </c>
    </row>
    <row r="11728" spans="1:6" x14ac:dyDescent="0.25">
      <c r="A11728" t="s">
        <v>705</v>
      </c>
      <c r="B11728" t="s">
        <v>64</v>
      </c>
      <c r="C11728" s="5" t="str">
        <f t="shared" ref="C11728:C11729" si="490">" кв. "&amp;B11728</f>
        <v xml:space="preserve"> кв. 60</v>
      </c>
      <c r="D11728" s="5" t="str">
        <f>CONCATENATE(A11728,C11728)</f>
        <v>Смольная ул., дом 63 кв. 60</v>
      </c>
      <c r="E11728" s="3">
        <f>HYPERLINK("https://sao.dolgi.msk.ru/account/1404130252/", 1404130252)</f>
        <v>1404130252</v>
      </c>
      <c r="F11728">
        <v>2544.0500000000002</v>
      </c>
    </row>
    <row r="11729" spans="1:6" x14ac:dyDescent="0.25">
      <c r="A11729" t="s">
        <v>705</v>
      </c>
      <c r="B11729" t="s">
        <v>65</v>
      </c>
      <c r="C11729" s="5" t="str">
        <f t="shared" si="490"/>
        <v xml:space="preserve"> кв. 61</v>
      </c>
      <c r="D11729" s="5" t="str">
        <f>CONCATENATE(A11729,C11729)</f>
        <v>Смольная ул., дом 63 кв. 61</v>
      </c>
      <c r="E11729" s="3">
        <f>HYPERLINK("https://sao.dolgi.msk.ru/account/1404130279/", 1404130279)</f>
        <v>1404130279</v>
      </c>
      <c r="F11729">
        <v>2975.67</v>
      </c>
    </row>
    <row r="11730" spans="1:6" hidden="1" x14ac:dyDescent="0.25">
      <c r="A11730" t="s">
        <v>705</v>
      </c>
      <c r="B11730" t="s">
        <v>66</v>
      </c>
      <c r="E11730" s="3">
        <f>HYPERLINK("https://sao.dolgi.msk.ru/account/1404129905/", 1404129905)</f>
        <v>1404129905</v>
      </c>
      <c r="F11730">
        <v>-4641.2299999999996</v>
      </c>
    </row>
    <row r="11731" spans="1:6" x14ac:dyDescent="0.25">
      <c r="A11731" t="s">
        <v>705</v>
      </c>
      <c r="B11731" t="s">
        <v>67</v>
      </c>
      <c r="C11731" s="5" t="str">
        <f>" кв. "&amp;B11731</f>
        <v xml:space="preserve"> кв. 63</v>
      </c>
      <c r="D11731" s="5" t="str">
        <f>CONCATENATE(A11731,C11731)</f>
        <v>Смольная ул., дом 63 кв. 63</v>
      </c>
      <c r="E11731" s="3">
        <f>HYPERLINK("https://sao.dolgi.msk.ru/account/1404131503/", 1404131503)</f>
        <v>1404131503</v>
      </c>
      <c r="F11731">
        <v>18548.919999999998</v>
      </c>
    </row>
    <row r="11732" spans="1:6" hidden="1" x14ac:dyDescent="0.25">
      <c r="A11732" t="s">
        <v>705</v>
      </c>
      <c r="B11732" t="s">
        <v>68</v>
      </c>
      <c r="E11732" s="3">
        <f>HYPERLINK("https://sao.dolgi.msk.ru/account/1404131511/", 1404131511)</f>
        <v>1404131511</v>
      </c>
      <c r="F11732">
        <v>-6116.59</v>
      </c>
    </row>
    <row r="11733" spans="1:6" hidden="1" x14ac:dyDescent="0.25">
      <c r="A11733" t="s">
        <v>705</v>
      </c>
      <c r="B11733" t="s">
        <v>69</v>
      </c>
      <c r="E11733" s="3">
        <f>HYPERLINK("https://sao.dolgi.msk.ru/account/1404131749/", 1404131749)</f>
        <v>1404131749</v>
      </c>
      <c r="F11733">
        <v>-4522.99</v>
      </c>
    </row>
    <row r="11734" spans="1:6" x14ac:dyDescent="0.25">
      <c r="A11734" t="s">
        <v>705</v>
      </c>
      <c r="B11734" t="s">
        <v>70</v>
      </c>
      <c r="C11734" s="5" t="str">
        <f>" кв. "&amp;B11734</f>
        <v xml:space="preserve"> кв. 66</v>
      </c>
      <c r="D11734" s="5" t="str">
        <f>CONCATENATE(A11734,C11734)</f>
        <v>Смольная ул., дом 63 кв. 66</v>
      </c>
      <c r="E11734" s="3">
        <f>HYPERLINK("https://sao.dolgi.msk.ru/account/1404129913/", 1404129913)</f>
        <v>1404129913</v>
      </c>
      <c r="F11734">
        <v>1253</v>
      </c>
    </row>
    <row r="11735" spans="1:6" hidden="1" x14ac:dyDescent="0.25">
      <c r="A11735" t="s">
        <v>705</v>
      </c>
      <c r="B11735" t="s">
        <v>71</v>
      </c>
      <c r="E11735" s="3">
        <f>HYPERLINK("https://sao.dolgi.msk.ru/account/1404130287/", 1404130287)</f>
        <v>1404130287</v>
      </c>
      <c r="F11735">
        <v>-55.72</v>
      </c>
    </row>
    <row r="11736" spans="1:6" hidden="1" x14ac:dyDescent="0.25">
      <c r="A11736" t="s">
        <v>705</v>
      </c>
      <c r="B11736" t="s">
        <v>72</v>
      </c>
      <c r="E11736" s="3">
        <f>HYPERLINK("https://sao.dolgi.msk.ru/account/1404130754/", 1404130754)</f>
        <v>1404130754</v>
      </c>
      <c r="F11736">
        <v>-8175.5</v>
      </c>
    </row>
    <row r="11737" spans="1:6" x14ac:dyDescent="0.25">
      <c r="A11737" t="s">
        <v>705</v>
      </c>
      <c r="B11737" t="s">
        <v>73</v>
      </c>
      <c r="C11737" s="5" t="str">
        <f>" кв. "&amp;B11737</f>
        <v xml:space="preserve"> кв. 69</v>
      </c>
      <c r="D11737" s="5" t="str">
        <f>CONCATENATE(A11737,C11737)</f>
        <v>Смольная ул., дом 63 кв. 69</v>
      </c>
      <c r="E11737" s="3">
        <f>HYPERLINK("https://sao.dolgi.msk.ru/account/1404130295/", 1404130295)</f>
        <v>1404130295</v>
      </c>
      <c r="F11737">
        <v>7088.66</v>
      </c>
    </row>
    <row r="11738" spans="1:6" hidden="1" x14ac:dyDescent="0.25">
      <c r="A11738" t="s">
        <v>705</v>
      </c>
      <c r="B11738" t="s">
        <v>74</v>
      </c>
      <c r="E11738" s="3">
        <f>HYPERLINK("https://sao.dolgi.msk.ru/account/1404130308/", 1404130308)</f>
        <v>1404130308</v>
      </c>
      <c r="F11738">
        <v>-1140.26</v>
      </c>
    </row>
    <row r="11739" spans="1:6" hidden="1" x14ac:dyDescent="0.25">
      <c r="A11739" t="s">
        <v>705</v>
      </c>
      <c r="B11739" t="s">
        <v>74</v>
      </c>
      <c r="E11739" s="3">
        <f>HYPERLINK("https://sao.dolgi.msk.ru/account/1404131538/", 1404131538)</f>
        <v>1404131538</v>
      </c>
      <c r="F11739">
        <v>-1501.63</v>
      </c>
    </row>
    <row r="11740" spans="1:6" x14ac:dyDescent="0.25">
      <c r="A11740" t="s">
        <v>705</v>
      </c>
      <c r="B11740" t="s">
        <v>75</v>
      </c>
      <c r="C11740" s="5" t="str">
        <f>" кв. "&amp;B11740</f>
        <v xml:space="preserve"> кв. 71</v>
      </c>
      <c r="D11740" s="5" t="str">
        <f>CONCATENATE(A11740,C11740)</f>
        <v>Смольная ул., дом 63 кв. 71</v>
      </c>
      <c r="E11740" s="3">
        <f>HYPERLINK("https://sao.dolgi.msk.ru/account/1404131757/", 1404131757)</f>
        <v>1404131757</v>
      </c>
      <c r="F11740">
        <v>8632.67</v>
      </c>
    </row>
    <row r="11741" spans="1:6" hidden="1" x14ac:dyDescent="0.25">
      <c r="A11741" t="s">
        <v>705</v>
      </c>
      <c r="B11741" t="s">
        <v>76</v>
      </c>
      <c r="E11741" s="3">
        <f>HYPERLINK("https://sao.dolgi.msk.ru/account/1404129921/", 1404129921)</f>
        <v>1404129921</v>
      </c>
      <c r="F11741">
        <v>-8754.4599999999991</v>
      </c>
    </row>
    <row r="11742" spans="1:6" hidden="1" x14ac:dyDescent="0.25">
      <c r="A11742" t="s">
        <v>705</v>
      </c>
      <c r="B11742" t="s">
        <v>77</v>
      </c>
      <c r="E11742" s="3">
        <f>HYPERLINK("https://sao.dolgi.msk.ru/account/1404131546/", 1404131546)</f>
        <v>1404131546</v>
      </c>
      <c r="F11742">
        <v>-7144.43</v>
      </c>
    </row>
    <row r="11743" spans="1:6" hidden="1" x14ac:dyDescent="0.25">
      <c r="A11743" t="s">
        <v>705</v>
      </c>
      <c r="B11743" t="s">
        <v>78</v>
      </c>
      <c r="E11743" s="3">
        <f>HYPERLINK("https://sao.dolgi.msk.ru/account/1404130527/", 1404130527)</f>
        <v>1404130527</v>
      </c>
      <c r="F11743">
        <v>-671.64</v>
      </c>
    </row>
    <row r="11744" spans="1:6" hidden="1" x14ac:dyDescent="0.25">
      <c r="A11744" t="s">
        <v>705</v>
      </c>
      <c r="B11744" t="s">
        <v>78</v>
      </c>
      <c r="E11744" s="3">
        <f>HYPERLINK("https://sao.dolgi.msk.ru/account/1404131554/", 1404131554)</f>
        <v>1404131554</v>
      </c>
      <c r="F11744">
        <v>-2536.4499999999998</v>
      </c>
    </row>
    <row r="11745" spans="1:6" x14ac:dyDescent="0.25">
      <c r="A11745" t="s">
        <v>705</v>
      </c>
      <c r="B11745" t="s">
        <v>79</v>
      </c>
      <c r="C11745" s="5" t="str">
        <f>" кв. "&amp;B11745</f>
        <v xml:space="preserve"> кв. 75</v>
      </c>
      <c r="D11745" s="5" t="str">
        <f>CONCATENATE(A11745,C11745)</f>
        <v>Смольная ул., дом 63 кв. 75</v>
      </c>
      <c r="E11745" s="3">
        <f>HYPERLINK("https://sao.dolgi.msk.ru/account/1404130762/", 1404130762)</f>
        <v>1404130762</v>
      </c>
      <c r="F11745">
        <v>3059.12</v>
      </c>
    </row>
    <row r="11746" spans="1:6" hidden="1" x14ac:dyDescent="0.25">
      <c r="A11746" t="s">
        <v>705</v>
      </c>
      <c r="B11746" t="s">
        <v>80</v>
      </c>
      <c r="E11746" s="3">
        <f>HYPERLINK("https://sao.dolgi.msk.ru/account/1404129948/", 1404129948)</f>
        <v>1404129948</v>
      </c>
      <c r="F11746">
        <v>0</v>
      </c>
    </row>
    <row r="11747" spans="1:6" hidden="1" x14ac:dyDescent="0.25">
      <c r="A11747" t="s">
        <v>705</v>
      </c>
      <c r="B11747" t="s">
        <v>81</v>
      </c>
      <c r="E11747" s="3">
        <f>HYPERLINK("https://sao.dolgi.msk.ru/account/1404130316/", 1404130316)</f>
        <v>1404130316</v>
      </c>
      <c r="F11747">
        <v>-898.81</v>
      </c>
    </row>
    <row r="11748" spans="1:6" hidden="1" x14ac:dyDescent="0.25">
      <c r="A11748" t="s">
        <v>705</v>
      </c>
      <c r="B11748" t="s">
        <v>82</v>
      </c>
      <c r="E11748" s="3">
        <f>HYPERLINK("https://sao.dolgi.msk.ru/account/1404131108/", 1404131108)</f>
        <v>1404131108</v>
      </c>
      <c r="F11748">
        <v>-3711.45</v>
      </c>
    </row>
    <row r="11749" spans="1:6" hidden="1" x14ac:dyDescent="0.25">
      <c r="A11749" t="s">
        <v>705</v>
      </c>
      <c r="B11749" t="s">
        <v>83</v>
      </c>
      <c r="E11749" s="3">
        <f>HYPERLINK("https://sao.dolgi.msk.ru/account/1404130535/", 1404130535)</f>
        <v>1404130535</v>
      </c>
      <c r="F11749">
        <v>-2101.86</v>
      </c>
    </row>
    <row r="11750" spans="1:6" hidden="1" x14ac:dyDescent="0.25">
      <c r="A11750" t="s">
        <v>705</v>
      </c>
      <c r="B11750" t="s">
        <v>84</v>
      </c>
      <c r="E11750" s="3">
        <f>HYPERLINK("https://sao.dolgi.msk.ru/account/1404130543/", 1404130543)</f>
        <v>1404130543</v>
      </c>
      <c r="F11750">
        <v>-3900.18</v>
      </c>
    </row>
    <row r="11751" spans="1:6" hidden="1" x14ac:dyDescent="0.25">
      <c r="A11751" t="s">
        <v>705</v>
      </c>
      <c r="B11751" t="s">
        <v>85</v>
      </c>
      <c r="E11751" s="3">
        <f>HYPERLINK("https://sao.dolgi.msk.ru/account/1404129956/", 1404129956)</f>
        <v>1404129956</v>
      </c>
      <c r="F11751">
        <v>-4472.0200000000004</v>
      </c>
    </row>
    <row r="11752" spans="1:6" hidden="1" x14ac:dyDescent="0.25">
      <c r="A11752" t="s">
        <v>705</v>
      </c>
      <c r="B11752" t="s">
        <v>86</v>
      </c>
      <c r="E11752" s="3">
        <f>HYPERLINK("https://sao.dolgi.msk.ru/account/1404130789/", 1404130789)</f>
        <v>1404130789</v>
      </c>
      <c r="F11752">
        <v>0</v>
      </c>
    </row>
    <row r="11753" spans="1:6" hidden="1" x14ac:dyDescent="0.25">
      <c r="A11753" t="s">
        <v>705</v>
      </c>
      <c r="B11753" t="s">
        <v>87</v>
      </c>
      <c r="E11753" s="3">
        <f>HYPERLINK("https://sao.dolgi.msk.ru/account/1404131562/", 1404131562)</f>
        <v>1404131562</v>
      </c>
      <c r="F11753">
        <v>-2282.1</v>
      </c>
    </row>
    <row r="11754" spans="1:6" hidden="1" x14ac:dyDescent="0.25">
      <c r="A11754" t="s">
        <v>705</v>
      </c>
      <c r="B11754" t="s">
        <v>88</v>
      </c>
      <c r="E11754" s="3">
        <f>HYPERLINK("https://sao.dolgi.msk.ru/account/1404130551/", 1404130551)</f>
        <v>1404130551</v>
      </c>
      <c r="F11754">
        <v>0</v>
      </c>
    </row>
    <row r="11755" spans="1:6" x14ac:dyDescent="0.25">
      <c r="A11755" t="s">
        <v>705</v>
      </c>
      <c r="B11755" t="s">
        <v>89</v>
      </c>
      <c r="C11755" s="5" t="str">
        <f>" кв. "&amp;B11755</f>
        <v xml:space="preserve"> кв. 85</v>
      </c>
      <c r="D11755" s="5" t="str">
        <f>CONCATENATE(A11755,C11755)</f>
        <v>Смольная ул., дом 63 кв. 85</v>
      </c>
      <c r="E11755" s="3">
        <f>HYPERLINK("https://sao.dolgi.msk.ru/account/1404131589/", 1404131589)</f>
        <v>1404131589</v>
      </c>
      <c r="F11755">
        <v>76794.710000000006</v>
      </c>
    </row>
    <row r="11756" spans="1:6" hidden="1" x14ac:dyDescent="0.25">
      <c r="A11756" t="s">
        <v>705</v>
      </c>
      <c r="B11756" t="s">
        <v>90</v>
      </c>
      <c r="E11756" s="3">
        <f>HYPERLINK("https://sao.dolgi.msk.ru/account/1404132039/", 1404132039)</f>
        <v>1404132039</v>
      </c>
      <c r="F11756">
        <v>-4352.17</v>
      </c>
    </row>
    <row r="11757" spans="1:6" hidden="1" x14ac:dyDescent="0.25">
      <c r="A11757" t="s">
        <v>705</v>
      </c>
      <c r="B11757" t="s">
        <v>91</v>
      </c>
      <c r="E11757" s="3">
        <f>HYPERLINK("https://sao.dolgi.msk.ru/account/1404130797/", 1404130797)</f>
        <v>1404130797</v>
      </c>
      <c r="F11757">
        <v>-3068.88</v>
      </c>
    </row>
    <row r="11758" spans="1:6" hidden="1" x14ac:dyDescent="0.25">
      <c r="A11758" t="s">
        <v>705</v>
      </c>
      <c r="B11758" t="s">
        <v>92</v>
      </c>
      <c r="E11758" s="3">
        <f>HYPERLINK("https://sao.dolgi.msk.ru/account/1404131597/", 1404131597)</f>
        <v>1404131597</v>
      </c>
      <c r="F11758">
        <v>-1082.3800000000001</v>
      </c>
    </row>
    <row r="11759" spans="1:6" x14ac:dyDescent="0.25">
      <c r="A11759" t="s">
        <v>705</v>
      </c>
      <c r="B11759" t="s">
        <v>93</v>
      </c>
      <c r="C11759" s="5" t="str">
        <f>" кв. "&amp;B11759</f>
        <v xml:space="preserve"> кв. 89</v>
      </c>
      <c r="D11759" s="5" t="str">
        <f>CONCATENATE(A11759,C11759)</f>
        <v>Смольная ул., дом 63 кв. 89</v>
      </c>
      <c r="E11759" s="3">
        <f>HYPERLINK("https://sao.dolgi.msk.ru/account/1404129964/", 1404129964)</f>
        <v>1404129964</v>
      </c>
      <c r="F11759">
        <v>9463.7800000000007</v>
      </c>
    </row>
    <row r="11760" spans="1:6" hidden="1" x14ac:dyDescent="0.25">
      <c r="A11760" t="s">
        <v>705</v>
      </c>
      <c r="B11760" t="s">
        <v>94</v>
      </c>
      <c r="E11760" s="3">
        <f>HYPERLINK("https://sao.dolgi.msk.ru/account/1404131765/", 1404131765)</f>
        <v>1404131765</v>
      </c>
      <c r="F11760">
        <v>-12210.89</v>
      </c>
    </row>
    <row r="11761" spans="1:6" hidden="1" x14ac:dyDescent="0.25">
      <c r="A11761" t="s">
        <v>705</v>
      </c>
      <c r="B11761" t="s">
        <v>95</v>
      </c>
      <c r="E11761" s="3">
        <f>HYPERLINK("https://sao.dolgi.msk.ru/account/1404130324/", 1404130324)</f>
        <v>1404130324</v>
      </c>
      <c r="F11761">
        <v>-14562.62</v>
      </c>
    </row>
    <row r="11762" spans="1:6" hidden="1" x14ac:dyDescent="0.25">
      <c r="A11762" t="s">
        <v>705</v>
      </c>
      <c r="B11762" t="s">
        <v>96</v>
      </c>
      <c r="E11762" s="3">
        <f>HYPERLINK("https://sao.dolgi.msk.ru/account/1404130578/", 1404130578)</f>
        <v>1404130578</v>
      </c>
      <c r="F11762">
        <v>0</v>
      </c>
    </row>
    <row r="11763" spans="1:6" hidden="1" x14ac:dyDescent="0.25">
      <c r="A11763" t="s">
        <v>705</v>
      </c>
      <c r="B11763" t="s">
        <v>97</v>
      </c>
      <c r="E11763" s="3">
        <f>HYPERLINK("https://sao.dolgi.msk.ru/account/1404131124/", 1404131124)</f>
        <v>1404131124</v>
      </c>
      <c r="F11763">
        <v>-8872.48</v>
      </c>
    </row>
    <row r="11764" spans="1:6" hidden="1" x14ac:dyDescent="0.25">
      <c r="A11764" t="s">
        <v>705</v>
      </c>
      <c r="B11764" t="s">
        <v>98</v>
      </c>
      <c r="E11764" s="3">
        <f>HYPERLINK("https://sao.dolgi.msk.ru/account/1404130826/", 1404130826)</f>
        <v>1404130826</v>
      </c>
      <c r="F11764">
        <v>-4735.41</v>
      </c>
    </row>
    <row r="11765" spans="1:6" hidden="1" x14ac:dyDescent="0.25">
      <c r="A11765" t="s">
        <v>705</v>
      </c>
      <c r="B11765" t="s">
        <v>99</v>
      </c>
      <c r="E11765" s="3">
        <f>HYPERLINK("https://sao.dolgi.msk.ru/account/1404131132/", 1404131132)</f>
        <v>1404131132</v>
      </c>
      <c r="F11765">
        <v>0</v>
      </c>
    </row>
    <row r="11766" spans="1:6" hidden="1" x14ac:dyDescent="0.25">
      <c r="A11766" t="s">
        <v>705</v>
      </c>
      <c r="B11766" t="s">
        <v>100</v>
      </c>
      <c r="E11766" s="3">
        <f>HYPERLINK("https://sao.dolgi.msk.ru/account/1404129972/", 1404129972)</f>
        <v>1404129972</v>
      </c>
      <c r="F11766">
        <v>-4430.0200000000004</v>
      </c>
    </row>
    <row r="11767" spans="1:6" hidden="1" x14ac:dyDescent="0.25">
      <c r="A11767" t="s">
        <v>705</v>
      </c>
      <c r="B11767" t="s">
        <v>101</v>
      </c>
      <c r="E11767" s="3">
        <f>HYPERLINK("https://sao.dolgi.msk.ru/account/1404130586/", 1404130586)</f>
        <v>1404130586</v>
      </c>
      <c r="F11767">
        <v>-7346.75</v>
      </c>
    </row>
    <row r="11768" spans="1:6" hidden="1" x14ac:dyDescent="0.25">
      <c r="A11768" t="s">
        <v>705</v>
      </c>
      <c r="B11768" t="s">
        <v>102</v>
      </c>
      <c r="E11768" s="3">
        <f>HYPERLINK("https://sao.dolgi.msk.ru/account/1404131159/", 1404131159)</f>
        <v>1404131159</v>
      </c>
      <c r="F11768">
        <v>-5932.71</v>
      </c>
    </row>
    <row r="11769" spans="1:6" hidden="1" x14ac:dyDescent="0.25">
      <c r="A11769" t="s">
        <v>705</v>
      </c>
      <c r="B11769" t="s">
        <v>103</v>
      </c>
      <c r="E11769" s="3">
        <f>HYPERLINK("https://sao.dolgi.msk.ru/account/1404130594/", 1404130594)</f>
        <v>1404130594</v>
      </c>
      <c r="F11769">
        <v>0</v>
      </c>
    </row>
    <row r="11770" spans="1:6" hidden="1" x14ac:dyDescent="0.25">
      <c r="A11770" t="s">
        <v>705</v>
      </c>
      <c r="B11770" t="s">
        <v>104</v>
      </c>
      <c r="E11770" s="3">
        <f>HYPERLINK("https://sao.dolgi.msk.ru/account/1404129649/", 1404129649)</f>
        <v>1404129649</v>
      </c>
      <c r="F11770">
        <v>-5160.83</v>
      </c>
    </row>
    <row r="11771" spans="1:6" hidden="1" x14ac:dyDescent="0.25">
      <c r="A11771" t="s">
        <v>705</v>
      </c>
      <c r="B11771" t="s">
        <v>105</v>
      </c>
      <c r="E11771" s="3">
        <f>HYPERLINK("https://sao.dolgi.msk.ru/account/1404131773/", 1404131773)</f>
        <v>1404131773</v>
      </c>
      <c r="F11771">
        <v>-4402.3599999999997</v>
      </c>
    </row>
    <row r="11772" spans="1:6" hidden="1" x14ac:dyDescent="0.25">
      <c r="A11772" t="s">
        <v>705</v>
      </c>
      <c r="B11772" t="s">
        <v>106</v>
      </c>
      <c r="E11772" s="3">
        <f>HYPERLINK("https://sao.dolgi.msk.ru/account/1404130842/", 1404130842)</f>
        <v>1404130842</v>
      </c>
      <c r="F11772">
        <v>-5389.61</v>
      </c>
    </row>
    <row r="11773" spans="1:6" hidden="1" x14ac:dyDescent="0.25">
      <c r="A11773" t="s">
        <v>705</v>
      </c>
      <c r="B11773" t="s">
        <v>107</v>
      </c>
      <c r="E11773" s="3">
        <f>HYPERLINK("https://sao.dolgi.msk.ru/account/1404130869/", 1404130869)</f>
        <v>1404130869</v>
      </c>
      <c r="F11773">
        <v>-4643.6400000000003</v>
      </c>
    </row>
    <row r="11774" spans="1:6" hidden="1" x14ac:dyDescent="0.25">
      <c r="A11774" t="s">
        <v>705</v>
      </c>
      <c r="B11774" t="s">
        <v>108</v>
      </c>
      <c r="E11774" s="3">
        <f>HYPERLINK("https://sao.dolgi.msk.ru/account/1404130359/", 1404130359)</f>
        <v>1404130359</v>
      </c>
      <c r="F11774">
        <v>-5177.4399999999996</v>
      </c>
    </row>
    <row r="11775" spans="1:6" hidden="1" x14ac:dyDescent="0.25">
      <c r="A11775" t="s">
        <v>705</v>
      </c>
      <c r="B11775" t="s">
        <v>109</v>
      </c>
      <c r="E11775" s="3">
        <f>HYPERLINK("https://sao.dolgi.msk.ru/account/1404130017/", 1404130017)</f>
        <v>1404130017</v>
      </c>
      <c r="F11775">
        <v>-13441.31</v>
      </c>
    </row>
    <row r="11776" spans="1:6" hidden="1" x14ac:dyDescent="0.25">
      <c r="A11776" t="s">
        <v>705</v>
      </c>
      <c r="B11776" t="s">
        <v>110</v>
      </c>
      <c r="E11776" s="3">
        <f>HYPERLINK("https://sao.dolgi.msk.ru/account/1404131183/", 1404131183)</f>
        <v>1404131183</v>
      </c>
      <c r="F11776">
        <v>-2375.12</v>
      </c>
    </row>
    <row r="11777" spans="1:6" hidden="1" x14ac:dyDescent="0.25">
      <c r="A11777" t="s">
        <v>705</v>
      </c>
      <c r="B11777" t="s">
        <v>111</v>
      </c>
      <c r="E11777" s="3">
        <f>HYPERLINK("https://sao.dolgi.msk.ru/account/1404130367/", 1404130367)</f>
        <v>1404130367</v>
      </c>
      <c r="F11777">
        <v>-4203.74</v>
      </c>
    </row>
    <row r="11778" spans="1:6" hidden="1" x14ac:dyDescent="0.25">
      <c r="A11778" t="s">
        <v>705</v>
      </c>
      <c r="B11778" t="s">
        <v>112</v>
      </c>
      <c r="E11778" s="3">
        <f>HYPERLINK("https://sao.dolgi.msk.ru/account/1404129657/", 1404129657)</f>
        <v>1404129657</v>
      </c>
      <c r="F11778">
        <v>-7839.21</v>
      </c>
    </row>
    <row r="11779" spans="1:6" hidden="1" x14ac:dyDescent="0.25">
      <c r="A11779" t="s">
        <v>705</v>
      </c>
      <c r="B11779" t="s">
        <v>113</v>
      </c>
      <c r="E11779" s="3">
        <f>HYPERLINK("https://sao.dolgi.msk.ru/account/1404131781/", 1404131781)</f>
        <v>1404131781</v>
      </c>
      <c r="F11779">
        <v>-4053.79</v>
      </c>
    </row>
    <row r="11780" spans="1:6" hidden="1" x14ac:dyDescent="0.25">
      <c r="A11780" t="s">
        <v>705</v>
      </c>
      <c r="B11780" t="s">
        <v>114</v>
      </c>
      <c r="E11780" s="3">
        <f>HYPERLINK("https://sao.dolgi.msk.ru/account/1404130615/", 1404130615)</f>
        <v>1404130615</v>
      </c>
      <c r="F11780">
        <v>-4205.8900000000003</v>
      </c>
    </row>
    <row r="11781" spans="1:6" hidden="1" x14ac:dyDescent="0.25">
      <c r="A11781" t="s">
        <v>705</v>
      </c>
      <c r="B11781" t="s">
        <v>115</v>
      </c>
      <c r="E11781" s="3">
        <f>HYPERLINK("https://sao.dolgi.msk.ru/account/1404129665/", 1404129665)</f>
        <v>1404129665</v>
      </c>
      <c r="F11781">
        <v>0</v>
      </c>
    </row>
    <row r="11782" spans="1:6" hidden="1" x14ac:dyDescent="0.25">
      <c r="A11782" t="s">
        <v>705</v>
      </c>
      <c r="B11782" t="s">
        <v>116</v>
      </c>
      <c r="E11782" s="3">
        <f>HYPERLINK("https://sao.dolgi.msk.ru/account/1404131618/", 1404131618)</f>
        <v>1404131618</v>
      </c>
      <c r="F11782">
        <v>-1100.97</v>
      </c>
    </row>
    <row r="11783" spans="1:6" hidden="1" x14ac:dyDescent="0.25">
      <c r="A11783" t="s">
        <v>705</v>
      </c>
      <c r="B11783" t="s">
        <v>117</v>
      </c>
      <c r="E11783" s="3">
        <f>HYPERLINK("https://sao.dolgi.msk.ru/account/1404130025/", 1404130025)</f>
        <v>1404130025</v>
      </c>
      <c r="F11783">
        <v>-7087.3</v>
      </c>
    </row>
    <row r="11784" spans="1:6" x14ac:dyDescent="0.25">
      <c r="A11784" t="s">
        <v>705</v>
      </c>
      <c r="B11784" t="s">
        <v>118</v>
      </c>
      <c r="C11784" s="5" t="str">
        <f>" кв. "&amp;B11784</f>
        <v xml:space="preserve"> кв. 114</v>
      </c>
      <c r="D11784" s="5" t="str">
        <f>CONCATENATE(A11784,C11784)</f>
        <v>Смольная ул., дом 63 кв. 114</v>
      </c>
      <c r="E11784" s="3">
        <f>HYPERLINK("https://sao.dolgi.msk.ru/account/1404130375/", 1404130375)</f>
        <v>1404130375</v>
      </c>
      <c r="F11784">
        <v>5552.87</v>
      </c>
    </row>
    <row r="11785" spans="1:6" hidden="1" x14ac:dyDescent="0.25">
      <c r="A11785" t="s">
        <v>705</v>
      </c>
      <c r="B11785" t="s">
        <v>119</v>
      </c>
      <c r="E11785" s="3">
        <f>HYPERLINK("https://sao.dolgi.msk.ru/account/1404129673/", 1404129673)</f>
        <v>1404129673</v>
      </c>
      <c r="F11785">
        <v>-3227.54</v>
      </c>
    </row>
    <row r="11786" spans="1:6" hidden="1" x14ac:dyDescent="0.25">
      <c r="A11786" t="s">
        <v>705</v>
      </c>
      <c r="B11786" t="s">
        <v>120</v>
      </c>
      <c r="E11786" s="3">
        <f>HYPERLINK("https://sao.dolgi.msk.ru/account/1404131626/", 1404131626)</f>
        <v>1404131626</v>
      </c>
      <c r="F11786">
        <v>-3306.36</v>
      </c>
    </row>
    <row r="11787" spans="1:6" hidden="1" x14ac:dyDescent="0.25">
      <c r="A11787" t="s">
        <v>705</v>
      </c>
      <c r="B11787" t="s">
        <v>121</v>
      </c>
      <c r="E11787" s="3">
        <f>HYPERLINK("https://sao.dolgi.msk.ru/account/1404131634/", 1404131634)</f>
        <v>1404131634</v>
      </c>
      <c r="F11787">
        <v>-6307.37</v>
      </c>
    </row>
    <row r="11788" spans="1:6" hidden="1" x14ac:dyDescent="0.25">
      <c r="A11788" t="s">
        <v>705</v>
      </c>
      <c r="B11788" t="s">
        <v>122</v>
      </c>
      <c r="E11788" s="3">
        <f>HYPERLINK("https://sao.dolgi.msk.ru/account/1404131191/", 1404131191)</f>
        <v>1404131191</v>
      </c>
      <c r="F11788">
        <v>-7487.87</v>
      </c>
    </row>
    <row r="11789" spans="1:6" hidden="1" x14ac:dyDescent="0.25">
      <c r="A11789" t="s">
        <v>705</v>
      </c>
      <c r="B11789" t="s">
        <v>123</v>
      </c>
      <c r="E11789" s="3">
        <f>HYPERLINK("https://sao.dolgi.msk.ru/account/1404131642/", 1404131642)</f>
        <v>1404131642</v>
      </c>
      <c r="F11789">
        <v>-5757.39</v>
      </c>
    </row>
    <row r="11790" spans="1:6" hidden="1" x14ac:dyDescent="0.25">
      <c r="A11790" t="s">
        <v>705</v>
      </c>
      <c r="B11790" t="s">
        <v>124</v>
      </c>
      <c r="E11790" s="3">
        <f>HYPERLINK("https://sao.dolgi.msk.ru/account/1404131204/", 1404131204)</f>
        <v>1404131204</v>
      </c>
      <c r="F11790">
        <v>-5979.49</v>
      </c>
    </row>
    <row r="11791" spans="1:6" hidden="1" x14ac:dyDescent="0.25">
      <c r="A11791" t="s">
        <v>705</v>
      </c>
      <c r="B11791" t="s">
        <v>125</v>
      </c>
      <c r="E11791" s="3">
        <f>HYPERLINK("https://sao.dolgi.msk.ru/account/1404131802/", 1404131802)</f>
        <v>1404131802</v>
      </c>
      <c r="F11791">
        <v>-6455.62</v>
      </c>
    </row>
    <row r="11792" spans="1:6" x14ac:dyDescent="0.25">
      <c r="A11792" t="s">
        <v>705</v>
      </c>
      <c r="B11792" t="s">
        <v>126</v>
      </c>
      <c r="C11792" s="5" t="str">
        <f>" кв. "&amp;B11792</f>
        <v xml:space="preserve"> кв. 122</v>
      </c>
      <c r="D11792" s="5" t="str">
        <f>CONCATENATE(A11792,C11792)</f>
        <v>Смольная ул., дом 63 кв. 122</v>
      </c>
      <c r="E11792" s="3">
        <f>HYPERLINK("https://sao.dolgi.msk.ru/account/1404130631/", 1404130631)</f>
        <v>1404130631</v>
      </c>
      <c r="F11792">
        <v>16074.75</v>
      </c>
    </row>
    <row r="11793" spans="1:6" hidden="1" x14ac:dyDescent="0.25">
      <c r="A11793" t="s">
        <v>705</v>
      </c>
      <c r="B11793" t="s">
        <v>127</v>
      </c>
      <c r="E11793" s="3">
        <f>HYPERLINK("https://sao.dolgi.msk.ru/account/1404130033/", 1404130033)</f>
        <v>1404130033</v>
      </c>
      <c r="F11793">
        <v>0</v>
      </c>
    </row>
    <row r="11794" spans="1:6" hidden="1" x14ac:dyDescent="0.25">
      <c r="A11794" t="s">
        <v>705</v>
      </c>
      <c r="B11794" t="s">
        <v>127</v>
      </c>
      <c r="E11794" s="3">
        <f>HYPERLINK("https://sao.dolgi.msk.ru/account/1404293801/", 1404293801)</f>
        <v>1404293801</v>
      </c>
      <c r="F11794">
        <v>0</v>
      </c>
    </row>
    <row r="11795" spans="1:6" x14ac:dyDescent="0.25">
      <c r="A11795" t="s">
        <v>705</v>
      </c>
      <c r="B11795" t="s">
        <v>128</v>
      </c>
      <c r="C11795" s="5" t="str">
        <f>" кв. "&amp;B11795</f>
        <v xml:space="preserve"> кв. 124</v>
      </c>
      <c r="D11795" s="5" t="str">
        <f>CONCATENATE(A11795,C11795)</f>
        <v>Смольная ул., дом 63 кв. 124</v>
      </c>
      <c r="E11795" s="3">
        <f>HYPERLINK("https://sao.dolgi.msk.ru/account/1404130383/", 1404130383)</f>
        <v>1404130383</v>
      </c>
      <c r="F11795">
        <v>5303.87</v>
      </c>
    </row>
    <row r="11796" spans="1:6" hidden="1" x14ac:dyDescent="0.25">
      <c r="A11796" t="s">
        <v>705</v>
      </c>
      <c r="B11796" t="s">
        <v>129</v>
      </c>
      <c r="E11796" s="3">
        <f>HYPERLINK("https://sao.dolgi.msk.ru/account/1404130658/", 1404130658)</f>
        <v>1404130658</v>
      </c>
      <c r="F11796">
        <v>-4402.18</v>
      </c>
    </row>
    <row r="11797" spans="1:6" hidden="1" x14ac:dyDescent="0.25">
      <c r="A11797" t="s">
        <v>705</v>
      </c>
      <c r="B11797" t="s">
        <v>130</v>
      </c>
      <c r="E11797" s="3">
        <f>HYPERLINK("https://sao.dolgi.msk.ru/account/1404131212/", 1404131212)</f>
        <v>1404131212</v>
      </c>
      <c r="F11797">
        <v>-3422.59</v>
      </c>
    </row>
    <row r="11798" spans="1:6" hidden="1" x14ac:dyDescent="0.25">
      <c r="A11798" t="s">
        <v>705</v>
      </c>
      <c r="B11798" t="s">
        <v>131</v>
      </c>
      <c r="E11798" s="3">
        <f>HYPERLINK("https://sao.dolgi.msk.ru/account/1404130041/", 1404130041)</f>
        <v>1404130041</v>
      </c>
      <c r="F11798">
        <v>0</v>
      </c>
    </row>
    <row r="11799" spans="1:6" hidden="1" x14ac:dyDescent="0.25">
      <c r="A11799" t="s">
        <v>705</v>
      </c>
      <c r="B11799" t="s">
        <v>132</v>
      </c>
      <c r="E11799" s="3">
        <f>HYPERLINK("https://sao.dolgi.msk.ru/account/1404131829/", 1404131829)</f>
        <v>1404131829</v>
      </c>
      <c r="F11799">
        <v>-4620.96</v>
      </c>
    </row>
    <row r="11800" spans="1:6" hidden="1" x14ac:dyDescent="0.25">
      <c r="A11800" t="s">
        <v>705</v>
      </c>
      <c r="B11800" t="s">
        <v>133</v>
      </c>
      <c r="E11800" s="3">
        <f>HYPERLINK("https://sao.dolgi.msk.ru/account/1404131837/", 1404131837)</f>
        <v>1404131837</v>
      </c>
      <c r="F11800">
        <v>-4595.12</v>
      </c>
    </row>
    <row r="11801" spans="1:6" hidden="1" x14ac:dyDescent="0.25">
      <c r="A11801" t="s">
        <v>705</v>
      </c>
      <c r="B11801" t="s">
        <v>134</v>
      </c>
      <c r="E11801" s="3">
        <f>HYPERLINK("https://sao.dolgi.msk.ru/account/1404130666/", 1404130666)</f>
        <v>1404130666</v>
      </c>
      <c r="F11801">
        <v>0</v>
      </c>
    </row>
    <row r="11802" spans="1:6" hidden="1" x14ac:dyDescent="0.25">
      <c r="A11802" t="s">
        <v>705</v>
      </c>
      <c r="B11802" t="s">
        <v>135</v>
      </c>
      <c r="E11802" s="3">
        <f>HYPERLINK("https://sao.dolgi.msk.ru/account/1404131669/", 1404131669)</f>
        <v>1404131669</v>
      </c>
      <c r="F11802">
        <v>-5598.53</v>
      </c>
    </row>
    <row r="11803" spans="1:6" hidden="1" x14ac:dyDescent="0.25">
      <c r="A11803" t="s">
        <v>705</v>
      </c>
      <c r="B11803" t="s">
        <v>136</v>
      </c>
      <c r="E11803" s="3">
        <f>HYPERLINK("https://sao.dolgi.msk.ru/account/1404130607/", 1404130607)</f>
        <v>1404130607</v>
      </c>
      <c r="F11803">
        <v>-2065.85</v>
      </c>
    </row>
    <row r="11804" spans="1:6" hidden="1" x14ac:dyDescent="0.25">
      <c r="A11804" t="s">
        <v>705</v>
      </c>
      <c r="B11804" t="s">
        <v>136</v>
      </c>
      <c r="E11804" s="3">
        <f>HYPERLINK("https://sao.dolgi.msk.ru/account/1404131845/", 1404131845)</f>
        <v>1404131845</v>
      </c>
      <c r="F11804">
        <v>-2968.72</v>
      </c>
    </row>
    <row r="11805" spans="1:6" hidden="1" x14ac:dyDescent="0.25">
      <c r="A11805" t="s">
        <v>705</v>
      </c>
      <c r="B11805" t="s">
        <v>137</v>
      </c>
      <c r="E11805" s="3">
        <f>HYPERLINK("https://sao.dolgi.msk.ru/account/1404130885/", 1404130885)</f>
        <v>1404130885</v>
      </c>
      <c r="F11805">
        <v>-5335.3</v>
      </c>
    </row>
    <row r="11806" spans="1:6" hidden="1" x14ac:dyDescent="0.25">
      <c r="A11806" t="s">
        <v>705</v>
      </c>
      <c r="B11806" t="s">
        <v>138</v>
      </c>
      <c r="E11806" s="3">
        <f>HYPERLINK("https://sao.dolgi.msk.ru/account/1404130391/", 1404130391)</f>
        <v>1404130391</v>
      </c>
      <c r="F11806">
        <v>-61.19</v>
      </c>
    </row>
    <row r="11807" spans="1:6" hidden="1" x14ac:dyDescent="0.25">
      <c r="A11807" t="s">
        <v>705</v>
      </c>
      <c r="B11807" t="s">
        <v>139</v>
      </c>
      <c r="E11807" s="3">
        <f>HYPERLINK("https://sao.dolgi.msk.ru/account/1404131853/", 1404131853)</f>
        <v>1404131853</v>
      </c>
      <c r="F11807">
        <v>-4144.74</v>
      </c>
    </row>
    <row r="11808" spans="1:6" x14ac:dyDescent="0.25">
      <c r="A11808" t="s">
        <v>705</v>
      </c>
      <c r="B11808" t="s">
        <v>140</v>
      </c>
      <c r="C11808" s="5" t="str">
        <f>" кв. "&amp;B11808</f>
        <v xml:space="preserve"> кв. 136</v>
      </c>
      <c r="D11808" s="5" t="str">
        <f>CONCATENATE(A11808,C11808)</f>
        <v>Смольная ул., дом 63 кв. 136</v>
      </c>
      <c r="E11808" s="3">
        <f>HYPERLINK("https://sao.dolgi.msk.ru/account/1404129681/", 1404129681)</f>
        <v>1404129681</v>
      </c>
      <c r="F11808">
        <v>4222.3500000000004</v>
      </c>
    </row>
    <row r="11809" spans="1:6" hidden="1" x14ac:dyDescent="0.25">
      <c r="A11809" t="s">
        <v>705</v>
      </c>
      <c r="B11809" t="s">
        <v>141</v>
      </c>
      <c r="E11809" s="3">
        <f>HYPERLINK("https://sao.dolgi.msk.ru/account/1404130893/", 1404130893)</f>
        <v>1404130893</v>
      </c>
      <c r="F11809">
        <v>-8206.98</v>
      </c>
    </row>
    <row r="11810" spans="1:6" hidden="1" x14ac:dyDescent="0.25">
      <c r="A11810" t="s">
        <v>705</v>
      </c>
      <c r="B11810" t="s">
        <v>142</v>
      </c>
      <c r="E11810" s="3">
        <f>HYPERLINK("https://sao.dolgi.msk.ru/account/1404131677/", 1404131677)</f>
        <v>1404131677</v>
      </c>
      <c r="F11810">
        <v>-5600.61</v>
      </c>
    </row>
    <row r="11811" spans="1:6" hidden="1" x14ac:dyDescent="0.25">
      <c r="A11811" t="s">
        <v>705</v>
      </c>
      <c r="B11811" t="s">
        <v>143</v>
      </c>
      <c r="E11811" s="3">
        <f>HYPERLINK("https://sao.dolgi.msk.ru/account/1404130674/", 1404130674)</f>
        <v>1404130674</v>
      </c>
      <c r="F11811">
        <v>-3145.38</v>
      </c>
    </row>
    <row r="11812" spans="1:6" hidden="1" x14ac:dyDescent="0.25">
      <c r="A11812" t="s">
        <v>705</v>
      </c>
      <c r="B11812" t="s">
        <v>144</v>
      </c>
      <c r="E11812" s="3">
        <f>HYPERLINK("https://sao.dolgi.msk.ru/account/1404131239/", 1404131239)</f>
        <v>1404131239</v>
      </c>
      <c r="F11812">
        <v>-4000.5</v>
      </c>
    </row>
    <row r="11813" spans="1:6" hidden="1" x14ac:dyDescent="0.25">
      <c r="A11813" t="s">
        <v>705</v>
      </c>
      <c r="B11813" t="s">
        <v>145</v>
      </c>
      <c r="E11813" s="3">
        <f>HYPERLINK("https://sao.dolgi.msk.ru/account/1404131888/", 1404131888)</f>
        <v>1404131888</v>
      </c>
      <c r="F11813">
        <v>-4840.67</v>
      </c>
    </row>
    <row r="11814" spans="1:6" x14ac:dyDescent="0.25">
      <c r="A11814" t="s">
        <v>705</v>
      </c>
      <c r="B11814" t="s">
        <v>146</v>
      </c>
      <c r="C11814" s="5" t="str">
        <f>" кв. "&amp;B11814</f>
        <v xml:space="preserve"> кв. 142</v>
      </c>
      <c r="D11814" s="5" t="str">
        <f>CONCATENATE(A11814,C11814)</f>
        <v>Смольная ул., дом 63 кв. 142</v>
      </c>
      <c r="E11814" s="3">
        <f>HYPERLINK("https://sao.dolgi.msk.ru/account/1404130404/", 1404130404)</f>
        <v>1404130404</v>
      </c>
      <c r="F11814">
        <v>187615.02</v>
      </c>
    </row>
    <row r="11815" spans="1:6" hidden="1" x14ac:dyDescent="0.25">
      <c r="A11815" t="s">
        <v>705</v>
      </c>
      <c r="B11815" t="s">
        <v>147</v>
      </c>
      <c r="E11815" s="3">
        <f>HYPERLINK("https://sao.dolgi.msk.ru/account/1404131896/", 1404131896)</f>
        <v>1404131896</v>
      </c>
      <c r="F11815">
        <v>-12019.38</v>
      </c>
    </row>
    <row r="11816" spans="1:6" hidden="1" x14ac:dyDescent="0.25">
      <c r="A11816" t="s">
        <v>705</v>
      </c>
      <c r="B11816" t="s">
        <v>148</v>
      </c>
      <c r="E11816" s="3">
        <f>HYPERLINK("https://sao.dolgi.msk.ru/account/1404129702/", 1404129702)</f>
        <v>1404129702</v>
      </c>
      <c r="F11816">
        <v>-5134.9399999999996</v>
      </c>
    </row>
    <row r="11817" spans="1:6" hidden="1" x14ac:dyDescent="0.25">
      <c r="A11817" t="s">
        <v>705</v>
      </c>
      <c r="B11817" t="s">
        <v>149</v>
      </c>
      <c r="E11817" s="3">
        <f>HYPERLINK("https://sao.dolgi.msk.ru/account/1404129729/", 1404129729)</f>
        <v>1404129729</v>
      </c>
      <c r="F11817">
        <v>0</v>
      </c>
    </row>
    <row r="11818" spans="1:6" hidden="1" x14ac:dyDescent="0.25">
      <c r="A11818" t="s">
        <v>705</v>
      </c>
      <c r="B11818" t="s">
        <v>150</v>
      </c>
      <c r="E11818" s="3">
        <f>HYPERLINK("https://sao.dolgi.msk.ru/account/1404130076/", 1404130076)</f>
        <v>1404130076</v>
      </c>
      <c r="F11818">
        <v>-2384.5</v>
      </c>
    </row>
    <row r="11819" spans="1:6" hidden="1" x14ac:dyDescent="0.25">
      <c r="A11819" t="s">
        <v>705</v>
      </c>
      <c r="B11819" t="s">
        <v>151</v>
      </c>
      <c r="E11819" s="3">
        <f>HYPERLINK("https://sao.dolgi.msk.ru/account/1404130906/", 1404130906)</f>
        <v>1404130906</v>
      </c>
      <c r="F11819">
        <v>-4809.42</v>
      </c>
    </row>
    <row r="11820" spans="1:6" hidden="1" x14ac:dyDescent="0.25">
      <c r="A11820" t="s">
        <v>705</v>
      </c>
      <c r="B11820" t="s">
        <v>152</v>
      </c>
      <c r="E11820" s="3">
        <f>HYPERLINK("https://sao.dolgi.msk.ru/account/1404131247/", 1404131247)</f>
        <v>1404131247</v>
      </c>
      <c r="F11820">
        <v>0</v>
      </c>
    </row>
    <row r="11821" spans="1:6" hidden="1" x14ac:dyDescent="0.25">
      <c r="A11821" t="s">
        <v>705</v>
      </c>
      <c r="B11821" t="s">
        <v>153</v>
      </c>
      <c r="E11821" s="3">
        <f>HYPERLINK("https://sao.dolgi.msk.ru/account/1404131255/", 1404131255)</f>
        <v>1404131255</v>
      </c>
      <c r="F11821">
        <v>0</v>
      </c>
    </row>
    <row r="11822" spans="1:6" hidden="1" x14ac:dyDescent="0.25">
      <c r="A11822" t="s">
        <v>705</v>
      </c>
      <c r="B11822" t="s">
        <v>154</v>
      </c>
      <c r="E11822" s="3">
        <f>HYPERLINK("https://sao.dolgi.msk.ru/account/1404129737/", 1404129737)</f>
        <v>1404129737</v>
      </c>
      <c r="F11822">
        <v>-4081.12</v>
      </c>
    </row>
    <row r="11823" spans="1:6" hidden="1" x14ac:dyDescent="0.25">
      <c r="A11823" t="s">
        <v>705</v>
      </c>
      <c r="B11823" t="s">
        <v>155</v>
      </c>
      <c r="E11823" s="3">
        <f>HYPERLINK("https://sao.dolgi.msk.ru/account/1404131693/", 1404131693)</f>
        <v>1404131693</v>
      </c>
      <c r="F11823">
        <v>-2005.32</v>
      </c>
    </row>
    <row r="11824" spans="1:6" hidden="1" x14ac:dyDescent="0.25">
      <c r="A11824" t="s">
        <v>705</v>
      </c>
      <c r="B11824" t="s">
        <v>156</v>
      </c>
      <c r="E11824" s="3">
        <f>HYPERLINK("https://sao.dolgi.msk.ru/account/1404130914/", 1404130914)</f>
        <v>1404130914</v>
      </c>
      <c r="F11824">
        <v>-3292.52</v>
      </c>
    </row>
    <row r="11825" spans="1:6" hidden="1" x14ac:dyDescent="0.25">
      <c r="A11825" t="s">
        <v>705</v>
      </c>
      <c r="B11825" t="s">
        <v>157</v>
      </c>
      <c r="E11825" s="3">
        <f>HYPERLINK("https://sao.dolgi.msk.ru/account/1404130682/", 1404130682)</f>
        <v>1404130682</v>
      </c>
      <c r="F11825">
        <v>-4298.21</v>
      </c>
    </row>
    <row r="11826" spans="1:6" hidden="1" x14ac:dyDescent="0.25">
      <c r="A11826" t="s">
        <v>705</v>
      </c>
      <c r="B11826" t="s">
        <v>158</v>
      </c>
      <c r="E11826" s="3">
        <f>HYPERLINK("https://sao.dolgi.msk.ru/account/1404129745/", 1404129745)</f>
        <v>1404129745</v>
      </c>
      <c r="F11826">
        <v>-1111.0999999999999</v>
      </c>
    </row>
    <row r="11827" spans="1:6" hidden="1" x14ac:dyDescent="0.25">
      <c r="A11827" t="s">
        <v>705</v>
      </c>
      <c r="B11827" t="s">
        <v>159</v>
      </c>
      <c r="E11827" s="3">
        <f>HYPERLINK("https://sao.dolgi.msk.ru/account/1404131909/", 1404131909)</f>
        <v>1404131909</v>
      </c>
      <c r="F11827">
        <v>-4444.26</v>
      </c>
    </row>
    <row r="11828" spans="1:6" hidden="1" x14ac:dyDescent="0.25">
      <c r="A11828" t="s">
        <v>705</v>
      </c>
      <c r="B11828" t="s">
        <v>160</v>
      </c>
      <c r="E11828" s="3">
        <f>HYPERLINK("https://sao.dolgi.msk.ru/account/1404130084/", 1404130084)</f>
        <v>1404130084</v>
      </c>
      <c r="F11828">
        <v>0</v>
      </c>
    </row>
    <row r="11829" spans="1:6" hidden="1" x14ac:dyDescent="0.25">
      <c r="A11829" t="s">
        <v>705</v>
      </c>
      <c r="B11829" t="s">
        <v>161</v>
      </c>
      <c r="E11829" s="3">
        <f>HYPERLINK("https://sao.dolgi.msk.ru/account/1404129753/", 1404129753)</f>
        <v>1404129753</v>
      </c>
      <c r="F11829">
        <v>0</v>
      </c>
    </row>
    <row r="11830" spans="1:6" hidden="1" x14ac:dyDescent="0.25">
      <c r="A11830" t="s">
        <v>705</v>
      </c>
      <c r="B11830" t="s">
        <v>162</v>
      </c>
      <c r="E11830" s="3">
        <f>HYPERLINK("https://sao.dolgi.msk.ru/account/1404131263/", 1404131263)</f>
        <v>1404131263</v>
      </c>
      <c r="F11830">
        <v>-3938.35</v>
      </c>
    </row>
    <row r="11831" spans="1:6" hidden="1" x14ac:dyDescent="0.25">
      <c r="A11831" t="s">
        <v>705</v>
      </c>
      <c r="B11831" t="s">
        <v>163</v>
      </c>
      <c r="E11831" s="3">
        <f>HYPERLINK("https://sao.dolgi.msk.ru/account/1404131271/", 1404131271)</f>
        <v>1404131271</v>
      </c>
      <c r="F11831">
        <v>-5151.1899999999996</v>
      </c>
    </row>
    <row r="11832" spans="1:6" hidden="1" x14ac:dyDescent="0.25">
      <c r="A11832" t="s">
        <v>705</v>
      </c>
      <c r="B11832" t="s">
        <v>164</v>
      </c>
      <c r="E11832" s="3">
        <f>HYPERLINK("https://sao.dolgi.msk.ru/account/1404131298/", 1404131298)</f>
        <v>1404131298</v>
      </c>
      <c r="F11832">
        <v>-2246.5</v>
      </c>
    </row>
    <row r="11833" spans="1:6" x14ac:dyDescent="0.25">
      <c r="A11833" t="s">
        <v>705</v>
      </c>
      <c r="B11833" t="s">
        <v>165</v>
      </c>
      <c r="C11833" s="5" t="str">
        <f>" кв. "&amp;B11833</f>
        <v xml:space="preserve"> кв. 161</v>
      </c>
      <c r="D11833" s="5" t="str">
        <f>CONCATENATE(A11833,C11833)</f>
        <v>Смольная ул., дом 63 кв. 161</v>
      </c>
      <c r="E11833" s="3">
        <f>HYPERLINK("https://sao.dolgi.msk.ru/account/1404131319/", 1404131319)</f>
        <v>1404131319</v>
      </c>
      <c r="F11833">
        <v>51710.76</v>
      </c>
    </row>
    <row r="11834" spans="1:6" hidden="1" x14ac:dyDescent="0.25">
      <c r="A11834" t="s">
        <v>705</v>
      </c>
      <c r="B11834" t="s">
        <v>166</v>
      </c>
      <c r="E11834" s="3">
        <f>HYPERLINK("https://sao.dolgi.msk.ru/account/1404131327/", 1404131327)</f>
        <v>1404131327</v>
      </c>
      <c r="F11834">
        <v>-4635.3</v>
      </c>
    </row>
    <row r="11835" spans="1:6" hidden="1" x14ac:dyDescent="0.25">
      <c r="A11835" t="s">
        <v>705</v>
      </c>
      <c r="B11835" t="s">
        <v>167</v>
      </c>
      <c r="E11835" s="3">
        <f>HYPERLINK("https://sao.dolgi.msk.ru/account/1404130922/", 1404130922)</f>
        <v>1404130922</v>
      </c>
      <c r="F11835">
        <v>-4925.88</v>
      </c>
    </row>
    <row r="11836" spans="1:6" hidden="1" x14ac:dyDescent="0.25">
      <c r="A11836" t="s">
        <v>705</v>
      </c>
      <c r="B11836" t="s">
        <v>168</v>
      </c>
      <c r="E11836" s="3">
        <f>HYPERLINK("https://sao.dolgi.msk.ru/account/1404129761/", 1404129761)</f>
        <v>1404129761</v>
      </c>
      <c r="F11836">
        <v>-6692.73</v>
      </c>
    </row>
    <row r="11837" spans="1:6" hidden="1" x14ac:dyDescent="0.25">
      <c r="A11837" t="s">
        <v>705</v>
      </c>
      <c r="B11837" t="s">
        <v>169</v>
      </c>
      <c r="E11837" s="3">
        <f>HYPERLINK("https://sao.dolgi.msk.ru/account/1404129788/", 1404129788)</f>
        <v>1404129788</v>
      </c>
      <c r="F11837">
        <v>0</v>
      </c>
    </row>
    <row r="11838" spans="1:6" hidden="1" x14ac:dyDescent="0.25">
      <c r="A11838" t="s">
        <v>705</v>
      </c>
      <c r="B11838" t="s">
        <v>170</v>
      </c>
      <c r="E11838" s="3">
        <f>HYPERLINK("https://sao.dolgi.msk.ru/account/1404130092/", 1404130092)</f>
        <v>1404130092</v>
      </c>
      <c r="F11838">
        <v>-5108.57</v>
      </c>
    </row>
    <row r="11839" spans="1:6" hidden="1" x14ac:dyDescent="0.25">
      <c r="A11839" t="s">
        <v>705</v>
      </c>
      <c r="B11839" t="s">
        <v>171</v>
      </c>
      <c r="E11839" s="3">
        <f>HYPERLINK("https://sao.dolgi.msk.ru/account/1404129796/", 1404129796)</f>
        <v>1404129796</v>
      </c>
      <c r="F11839">
        <v>-4169.47</v>
      </c>
    </row>
    <row r="11840" spans="1:6" x14ac:dyDescent="0.25">
      <c r="A11840" t="s">
        <v>705</v>
      </c>
      <c r="B11840" t="s">
        <v>172</v>
      </c>
      <c r="C11840" s="5" t="str">
        <f>" кв. "&amp;B11840</f>
        <v xml:space="preserve"> кв. 168</v>
      </c>
      <c r="D11840" s="5" t="str">
        <f>CONCATENATE(A11840,C11840)</f>
        <v>Смольная ул., дом 63 кв. 168</v>
      </c>
      <c r="E11840" s="3">
        <f>HYPERLINK("https://sao.dolgi.msk.ru/account/1404130949/", 1404130949)</f>
        <v>1404130949</v>
      </c>
      <c r="F11840">
        <v>13887.36</v>
      </c>
    </row>
    <row r="11841" spans="1:6" hidden="1" x14ac:dyDescent="0.25">
      <c r="A11841" t="s">
        <v>705</v>
      </c>
      <c r="B11841" t="s">
        <v>173</v>
      </c>
      <c r="E11841" s="3">
        <f>HYPERLINK("https://sao.dolgi.msk.ru/account/1404131335/", 1404131335)</f>
        <v>1404131335</v>
      </c>
      <c r="F11841">
        <v>-4641.72</v>
      </c>
    </row>
    <row r="11842" spans="1:6" hidden="1" x14ac:dyDescent="0.25">
      <c r="A11842" t="s">
        <v>705</v>
      </c>
      <c r="B11842" t="s">
        <v>174</v>
      </c>
      <c r="E11842" s="3">
        <f>HYPERLINK("https://sao.dolgi.msk.ru/account/1404131343/", 1404131343)</f>
        <v>1404131343</v>
      </c>
      <c r="F11842">
        <v>-4028.86</v>
      </c>
    </row>
    <row r="11843" spans="1:6" hidden="1" x14ac:dyDescent="0.25">
      <c r="A11843" t="s">
        <v>705</v>
      </c>
      <c r="B11843" t="s">
        <v>175</v>
      </c>
      <c r="E11843" s="3">
        <f>HYPERLINK("https://sao.dolgi.msk.ru/account/1404131351/", 1404131351)</f>
        <v>1404131351</v>
      </c>
      <c r="F11843">
        <v>0</v>
      </c>
    </row>
    <row r="11844" spans="1:6" hidden="1" x14ac:dyDescent="0.25">
      <c r="A11844" t="s">
        <v>705</v>
      </c>
      <c r="B11844" t="s">
        <v>176</v>
      </c>
      <c r="E11844" s="3">
        <f>HYPERLINK("https://sao.dolgi.msk.ru/account/1404130439/", 1404130439)</f>
        <v>1404130439</v>
      </c>
      <c r="F11844">
        <v>-3428</v>
      </c>
    </row>
    <row r="11845" spans="1:6" hidden="1" x14ac:dyDescent="0.25">
      <c r="A11845" t="s">
        <v>705</v>
      </c>
      <c r="B11845" t="s">
        <v>177</v>
      </c>
      <c r="E11845" s="3">
        <f>HYPERLINK("https://sao.dolgi.msk.ru/account/1404129809/", 1404129809)</f>
        <v>1404129809</v>
      </c>
      <c r="F11845">
        <v>-7458.92</v>
      </c>
    </row>
    <row r="11846" spans="1:6" hidden="1" x14ac:dyDescent="0.25">
      <c r="A11846" t="s">
        <v>705</v>
      </c>
      <c r="B11846" t="s">
        <v>178</v>
      </c>
      <c r="E11846" s="3">
        <f>HYPERLINK("https://sao.dolgi.msk.ru/account/1404131378/", 1404131378)</f>
        <v>1404131378</v>
      </c>
      <c r="F11846">
        <v>-3434.9</v>
      </c>
    </row>
    <row r="11847" spans="1:6" hidden="1" x14ac:dyDescent="0.25">
      <c r="A11847" t="s">
        <v>705</v>
      </c>
      <c r="B11847" t="s">
        <v>179</v>
      </c>
      <c r="E11847" s="3">
        <f>HYPERLINK("https://sao.dolgi.msk.ru/account/1404130957/", 1404130957)</f>
        <v>1404130957</v>
      </c>
      <c r="F11847">
        <v>-4543.5</v>
      </c>
    </row>
    <row r="11848" spans="1:6" hidden="1" x14ac:dyDescent="0.25">
      <c r="A11848" t="s">
        <v>705</v>
      </c>
      <c r="B11848" t="s">
        <v>180</v>
      </c>
      <c r="E11848" s="3">
        <f>HYPERLINK("https://sao.dolgi.msk.ru/account/1404130965/", 1404130965)</f>
        <v>1404130965</v>
      </c>
      <c r="F11848">
        <v>0</v>
      </c>
    </row>
    <row r="11849" spans="1:6" hidden="1" x14ac:dyDescent="0.25">
      <c r="A11849" t="s">
        <v>705</v>
      </c>
      <c r="B11849" t="s">
        <v>181</v>
      </c>
      <c r="E11849" s="3">
        <f>HYPERLINK("https://sao.dolgi.msk.ru/account/1404129999/", 1404129999)</f>
        <v>1404129999</v>
      </c>
      <c r="F11849">
        <v>-7002.33</v>
      </c>
    </row>
    <row r="11850" spans="1:6" hidden="1" x14ac:dyDescent="0.25">
      <c r="A11850" t="s">
        <v>705</v>
      </c>
      <c r="B11850" t="s">
        <v>182</v>
      </c>
      <c r="E11850" s="3">
        <f>HYPERLINK("https://sao.dolgi.msk.ru/account/1404131706/", 1404131706)</f>
        <v>1404131706</v>
      </c>
      <c r="F11850">
        <v>-4473.54</v>
      </c>
    </row>
    <row r="11851" spans="1:6" hidden="1" x14ac:dyDescent="0.25">
      <c r="A11851" t="s">
        <v>705</v>
      </c>
      <c r="B11851" t="s">
        <v>183</v>
      </c>
      <c r="E11851" s="3">
        <f>HYPERLINK("https://sao.dolgi.msk.ru/account/1404130711/", 1404130711)</f>
        <v>1404130711</v>
      </c>
      <c r="F11851">
        <v>-3878</v>
      </c>
    </row>
    <row r="11852" spans="1:6" hidden="1" x14ac:dyDescent="0.25">
      <c r="A11852" t="s">
        <v>705</v>
      </c>
      <c r="B11852" t="s">
        <v>184</v>
      </c>
      <c r="E11852" s="3">
        <f>HYPERLINK("https://sao.dolgi.msk.ru/account/1404129817/", 1404129817)</f>
        <v>1404129817</v>
      </c>
      <c r="F11852">
        <v>-4288.26</v>
      </c>
    </row>
    <row r="11853" spans="1:6" hidden="1" x14ac:dyDescent="0.25">
      <c r="A11853" t="s">
        <v>705</v>
      </c>
      <c r="B11853" t="s">
        <v>185</v>
      </c>
      <c r="E11853" s="3">
        <f>HYPERLINK("https://sao.dolgi.msk.ru/account/1404131394/", 1404131394)</f>
        <v>1404131394</v>
      </c>
      <c r="F11853">
        <v>-6117.9</v>
      </c>
    </row>
    <row r="11854" spans="1:6" hidden="1" x14ac:dyDescent="0.25">
      <c r="A11854" t="s">
        <v>705</v>
      </c>
      <c r="B11854" t="s">
        <v>186</v>
      </c>
      <c r="E11854" s="3">
        <f>HYPERLINK("https://sao.dolgi.msk.ru/account/1404130973/", 1404130973)</f>
        <v>1404130973</v>
      </c>
      <c r="F11854">
        <v>-5490.14</v>
      </c>
    </row>
    <row r="11855" spans="1:6" hidden="1" x14ac:dyDescent="0.25">
      <c r="A11855" t="s">
        <v>705</v>
      </c>
      <c r="B11855" t="s">
        <v>187</v>
      </c>
      <c r="E11855" s="3">
        <f>HYPERLINK("https://sao.dolgi.msk.ru/account/1404130981/", 1404130981)</f>
        <v>1404130981</v>
      </c>
      <c r="F11855">
        <v>-2577</v>
      </c>
    </row>
    <row r="11856" spans="1:6" hidden="1" x14ac:dyDescent="0.25">
      <c r="A11856" t="s">
        <v>705</v>
      </c>
      <c r="B11856" t="s">
        <v>188</v>
      </c>
      <c r="E11856" s="3">
        <f>HYPERLINK("https://sao.dolgi.msk.ru/account/1404130105/", 1404130105)</f>
        <v>1404130105</v>
      </c>
      <c r="F11856">
        <v>-4790.7299999999996</v>
      </c>
    </row>
    <row r="11857" spans="1:6" hidden="1" x14ac:dyDescent="0.25">
      <c r="A11857" t="s">
        <v>705</v>
      </c>
      <c r="B11857" t="s">
        <v>189</v>
      </c>
      <c r="E11857" s="3">
        <f>HYPERLINK("https://sao.dolgi.msk.ru/account/1404131925/", 1404131925)</f>
        <v>1404131925</v>
      </c>
      <c r="F11857">
        <v>-11099.97</v>
      </c>
    </row>
    <row r="11858" spans="1:6" x14ac:dyDescent="0.25">
      <c r="A11858" t="s">
        <v>705</v>
      </c>
      <c r="B11858" t="s">
        <v>190</v>
      </c>
      <c r="C11858" s="5" t="str">
        <f>" кв. "&amp;B11858</f>
        <v xml:space="preserve"> кв. 186</v>
      </c>
      <c r="D11858" s="5" t="str">
        <f>CONCATENATE(A11858,C11858)</f>
        <v>Смольная ул., дом 63 кв. 186</v>
      </c>
      <c r="E11858" s="3">
        <f>HYPERLINK("https://sao.dolgi.msk.ru/account/1404129825/", 1404129825)</f>
        <v>1404129825</v>
      </c>
      <c r="F11858">
        <v>7756.58</v>
      </c>
    </row>
    <row r="11859" spans="1:6" hidden="1" x14ac:dyDescent="0.25">
      <c r="A11859" t="s">
        <v>705</v>
      </c>
      <c r="B11859" t="s">
        <v>191</v>
      </c>
      <c r="E11859" s="3">
        <f>HYPERLINK("https://sao.dolgi.msk.ru/account/1404130113/", 1404130113)</f>
        <v>1404130113</v>
      </c>
      <c r="F11859">
        <v>-4452.6000000000004</v>
      </c>
    </row>
    <row r="11860" spans="1:6" hidden="1" x14ac:dyDescent="0.25">
      <c r="A11860" t="s">
        <v>705</v>
      </c>
      <c r="B11860" t="s">
        <v>192</v>
      </c>
      <c r="E11860" s="3">
        <f>HYPERLINK("https://sao.dolgi.msk.ru/account/1404131714/", 1404131714)</f>
        <v>1404131714</v>
      </c>
      <c r="F11860">
        <v>0</v>
      </c>
    </row>
    <row r="11861" spans="1:6" hidden="1" x14ac:dyDescent="0.25">
      <c r="A11861" t="s">
        <v>705</v>
      </c>
      <c r="B11861" t="s">
        <v>193</v>
      </c>
      <c r="E11861" s="3">
        <f>HYPERLINK("https://sao.dolgi.msk.ru/account/1404129833/", 1404129833)</f>
        <v>1404129833</v>
      </c>
      <c r="F11861">
        <v>-5161.22</v>
      </c>
    </row>
    <row r="11862" spans="1:6" hidden="1" x14ac:dyDescent="0.25">
      <c r="A11862" t="s">
        <v>706</v>
      </c>
      <c r="B11862" t="s">
        <v>8</v>
      </c>
      <c r="E11862" s="3">
        <f>HYPERLINK("https://sao.dolgi.msk.ru/account/1404202324/", 1404202324)</f>
        <v>1404202324</v>
      </c>
      <c r="F11862">
        <v>-1455.96</v>
      </c>
    </row>
    <row r="11863" spans="1:6" x14ac:dyDescent="0.25">
      <c r="A11863" t="s">
        <v>706</v>
      </c>
      <c r="B11863" t="s">
        <v>9</v>
      </c>
      <c r="C11863" s="5" t="str">
        <f>" кв. "&amp;B11863</f>
        <v xml:space="preserve"> кв. 5</v>
      </c>
      <c r="D11863" s="5" t="str">
        <f>CONCATENATE(A11863,C11863)</f>
        <v>Смольная ул., дом 65 кв. 5</v>
      </c>
      <c r="E11863" s="3">
        <f>HYPERLINK("https://sao.dolgi.msk.ru/account/1404201479/", 1404201479)</f>
        <v>1404201479</v>
      </c>
      <c r="F11863">
        <v>999.51</v>
      </c>
    </row>
    <row r="11864" spans="1:6" hidden="1" x14ac:dyDescent="0.25">
      <c r="A11864" t="s">
        <v>706</v>
      </c>
      <c r="B11864" t="s">
        <v>10</v>
      </c>
      <c r="E11864" s="3">
        <f>HYPERLINK("https://sao.dolgi.msk.ru/account/1404202439/", 1404202439)</f>
        <v>1404202439</v>
      </c>
      <c r="F11864">
        <v>-2042.95</v>
      </c>
    </row>
    <row r="11865" spans="1:6" hidden="1" x14ac:dyDescent="0.25">
      <c r="A11865" t="s">
        <v>706</v>
      </c>
      <c r="B11865" t="s">
        <v>11</v>
      </c>
      <c r="E11865" s="3">
        <f>HYPERLINK("https://sao.dolgi.msk.ru/account/1404202121/", 1404202121)</f>
        <v>1404202121</v>
      </c>
      <c r="F11865">
        <v>-1831.03</v>
      </c>
    </row>
    <row r="11866" spans="1:6" hidden="1" x14ac:dyDescent="0.25">
      <c r="A11866" t="s">
        <v>706</v>
      </c>
      <c r="B11866" t="s">
        <v>12</v>
      </c>
      <c r="E11866" s="3">
        <f>HYPERLINK("https://sao.dolgi.msk.ru/account/1404201559/", 1404201559)</f>
        <v>1404201559</v>
      </c>
      <c r="F11866">
        <v>-2531.7399999999998</v>
      </c>
    </row>
    <row r="11867" spans="1:6" hidden="1" x14ac:dyDescent="0.25">
      <c r="A11867" t="s">
        <v>706</v>
      </c>
      <c r="B11867" t="s">
        <v>13</v>
      </c>
      <c r="E11867" s="3">
        <f>HYPERLINK("https://sao.dolgi.msk.ru/account/1404202199/", 1404202199)</f>
        <v>1404202199</v>
      </c>
      <c r="F11867">
        <v>0</v>
      </c>
    </row>
    <row r="11868" spans="1:6" x14ac:dyDescent="0.25">
      <c r="A11868" t="s">
        <v>706</v>
      </c>
      <c r="B11868" t="s">
        <v>14</v>
      </c>
      <c r="C11868" s="5" t="str">
        <f>" кв. "&amp;B11868</f>
        <v xml:space="preserve"> кв. 10</v>
      </c>
      <c r="D11868" s="5" t="str">
        <f>CONCATENATE(A11868,C11868)</f>
        <v>Смольная ул., дом 65 кв. 10</v>
      </c>
      <c r="E11868" s="3">
        <f>HYPERLINK("https://sao.dolgi.msk.ru/account/1404202359/", 1404202359)</f>
        <v>1404202359</v>
      </c>
      <c r="F11868">
        <v>1410.7</v>
      </c>
    </row>
    <row r="11869" spans="1:6" hidden="1" x14ac:dyDescent="0.25">
      <c r="A11869" t="s">
        <v>706</v>
      </c>
      <c r="B11869" t="s">
        <v>15</v>
      </c>
      <c r="E11869" s="3">
        <f>HYPERLINK("https://sao.dolgi.msk.ru/account/1404201946/", 1404201946)</f>
        <v>1404201946</v>
      </c>
      <c r="F11869">
        <v>-587.86</v>
      </c>
    </row>
    <row r="11870" spans="1:6" x14ac:dyDescent="0.25">
      <c r="A11870" t="s">
        <v>706</v>
      </c>
      <c r="B11870" t="s">
        <v>16</v>
      </c>
      <c r="C11870" s="5" t="str">
        <f>" кв. "&amp;B11870</f>
        <v xml:space="preserve"> кв. 12</v>
      </c>
      <c r="D11870" s="5" t="str">
        <f>CONCATENATE(A11870,C11870)</f>
        <v>Смольная ул., дом 65 кв. 12</v>
      </c>
      <c r="E11870" s="3">
        <f>HYPERLINK("https://sao.dolgi.msk.ru/account/1404202586/", 1404202586)</f>
        <v>1404202586</v>
      </c>
      <c r="F11870">
        <v>1989.53</v>
      </c>
    </row>
    <row r="11871" spans="1:6" hidden="1" x14ac:dyDescent="0.25">
      <c r="A11871" t="s">
        <v>706</v>
      </c>
      <c r="B11871" t="s">
        <v>17</v>
      </c>
      <c r="E11871" s="3">
        <f>HYPERLINK("https://sao.dolgi.msk.ru/account/1404202447/", 1404202447)</f>
        <v>1404202447</v>
      </c>
      <c r="F11871">
        <v>-1455.95</v>
      </c>
    </row>
    <row r="11872" spans="1:6" hidden="1" x14ac:dyDescent="0.25">
      <c r="A11872" t="s">
        <v>706</v>
      </c>
      <c r="B11872" t="s">
        <v>18</v>
      </c>
      <c r="E11872" s="3">
        <f>HYPERLINK("https://sao.dolgi.msk.ru/account/1404202113/", 1404202113)</f>
        <v>1404202113</v>
      </c>
      <c r="F11872">
        <v>-1728.27</v>
      </c>
    </row>
    <row r="11873" spans="1:6" hidden="1" x14ac:dyDescent="0.25">
      <c r="A11873" t="s">
        <v>706</v>
      </c>
      <c r="B11873" t="s">
        <v>19</v>
      </c>
      <c r="E11873" s="3">
        <f>HYPERLINK("https://sao.dolgi.msk.ru/account/1404201698/", 1404201698)</f>
        <v>1404201698</v>
      </c>
      <c r="F11873">
        <v>0</v>
      </c>
    </row>
    <row r="11874" spans="1:6" hidden="1" x14ac:dyDescent="0.25">
      <c r="A11874" t="s">
        <v>706</v>
      </c>
      <c r="B11874" t="s">
        <v>19</v>
      </c>
      <c r="E11874" s="3">
        <f>HYPERLINK("https://sao.dolgi.msk.ru/account/1404202594/", 1404202594)</f>
        <v>1404202594</v>
      </c>
      <c r="F11874">
        <v>0</v>
      </c>
    </row>
    <row r="11875" spans="1:6" hidden="1" x14ac:dyDescent="0.25">
      <c r="A11875" t="s">
        <v>706</v>
      </c>
      <c r="B11875" t="s">
        <v>20</v>
      </c>
      <c r="E11875" s="3">
        <f>HYPERLINK("https://sao.dolgi.msk.ru/account/1404202367/", 1404202367)</f>
        <v>1404202367</v>
      </c>
      <c r="F11875">
        <v>-2130.7800000000002</v>
      </c>
    </row>
    <row r="11876" spans="1:6" x14ac:dyDescent="0.25">
      <c r="A11876" t="s">
        <v>706</v>
      </c>
      <c r="B11876" t="s">
        <v>21</v>
      </c>
      <c r="C11876" s="5" t="str">
        <f>" кв. "&amp;B11876</f>
        <v xml:space="preserve"> кв. 17</v>
      </c>
      <c r="D11876" s="5" t="str">
        <f>CONCATENATE(A11876,C11876)</f>
        <v>Смольная ул., дом 65 кв. 17</v>
      </c>
      <c r="E11876" s="3">
        <f>HYPERLINK("https://sao.dolgi.msk.ru/account/1404201815/", 1404201815)</f>
        <v>1404201815</v>
      </c>
      <c r="F11876">
        <v>1002.67</v>
      </c>
    </row>
    <row r="11877" spans="1:6" hidden="1" x14ac:dyDescent="0.25">
      <c r="A11877" t="s">
        <v>706</v>
      </c>
      <c r="B11877" t="s">
        <v>22</v>
      </c>
      <c r="E11877" s="3">
        <f>HYPERLINK("https://sao.dolgi.msk.ru/account/1404201954/", 1404201954)</f>
        <v>1404201954</v>
      </c>
      <c r="F11877">
        <v>0</v>
      </c>
    </row>
    <row r="11878" spans="1:6" hidden="1" x14ac:dyDescent="0.25">
      <c r="A11878" t="s">
        <v>706</v>
      </c>
      <c r="B11878" t="s">
        <v>23</v>
      </c>
      <c r="E11878" s="3">
        <f>HYPERLINK("https://sao.dolgi.msk.ru/account/1404202463/", 1404202463)</f>
        <v>1404202463</v>
      </c>
      <c r="F11878">
        <v>0</v>
      </c>
    </row>
    <row r="11879" spans="1:6" hidden="1" x14ac:dyDescent="0.25">
      <c r="A11879" t="s">
        <v>706</v>
      </c>
      <c r="B11879" t="s">
        <v>24</v>
      </c>
      <c r="E11879" s="3">
        <f>HYPERLINK("https://sao.dolgi.msk.ru/account/1404202156/", 1404202156)</f>
        <v>1404202156</v>
      </c>
      <c r="F11879">
        <v>-1924.13</v>
      </c>
    </row>
    <row r="11880" spans="1:6" x14ac:dyDescent="0.25">
      <c r="A11880" t="s">
        <v>706</v>
      </c>
      <c r="B11880" t="s">
        <v>25</v>
      </c>
      <c r="C11880" s="5" t="str">
        <f>" кв. "&amp;B11880</f>
        <v xml:space="preserve"> кв. 21</v>
      </c>
      <c r="D11880" s="5" t="str">
        <f>CONCATENATE(A11880,C11880)</f>
        <v>Смольная ул., дом 65 кв. 21</v>
      </c>
      <c r="E11880" s="3">
        <f>HYPERLINK("https://sao.dolgi.msk.ru/account/1404202631/", 1404202631)</f>
        <v>1404202631</v>
      </c>
      <c r="F11880">
        <v>986.86</v>
      </c>
    </row>
    <row r="11881" spans="1:6" hidden="1" x14ac:dyDescent="0.25">
      <c r="A11881" t="s">
        <v>706</v>
      </c>
      <c r="B11881" t="s">
        <v>26</v>
      </c>
      <c r="E11881" s="3">
        <f>HYPERLINK("https://sao.dolgi.msk.ru/account/1404202578/", 1404202578)</f>
        <v>1404202578</v>
      </c>
      <c r="F11881">
        <v>-2052.19</v>
      </c>
    </row>
    <row r="11882" spans="1:6" x14ac:dyDescent="0.25">
      <c r="A11882" t="s">
        <v>706</v>
      </c>
      <c r="B11882" t="s">
        <v>27</v>
      </c>
      <c r="C11882" s="5" t="str">
        <f>" кв. "&amp;B11882</f>
        <v xml:space="preserve"> кв. 23</v>
      </c>
      <c r="D11882" s="5" t="str">
        <f>CONCATENATE(A11882,C11882)</f>
        <v>Смольная ул., дом 65 кв. 23</v>
      </c>
      <c r="E11882" s="3">
        <f>HYPERLINK("https://sao.dolgi.msk.ru/account/1404201743/", 1404201743)</f>
        <v>1404201743</v>
      </c>
      <c r="F11882">
        <v>1995.85</v>
      </c>
    </row>
    <row r="11883" spans="1:6" hidden="1" x14ac:dyDescent="0.25">
      <c r="A11883" t="s">
        <v>706</v>
      </c>
      <c r="B11883" t="s">
        <v>28</v>
      </c>
      <c r="E11883" s="3">
        <f>HYPERLINK("https://sao.dolgi.msk.ru/account/1404202658/", 1404202658)</f>
        <v>1404202658</v>
      </c>
      <c r="F11883">
        <v>-2893.42</v>
      </c>
    </row>
    <row r="11884" spans="1:6" hidden="1" x14ac:dyDescent="0.25">
      <c r="A11884" t="s">
        <v>706</v>
      </c>
      <c r="B11884" t="s">
        <v>29</v>
      </c>
      <c r="E11884" s="3">
        <f>HYPERLINK("https://sao.dolgi.msk.ru/account/1404202164/", 1404202164)</f>
        <v>1404202164</v>
      </c>
      <c r="F11884">
        <v>-1474.44</v>
      </c>
    </row>
    <row r="11885" spans="1:6" hidden="1" x14ac:dyDescent="0.25">
      <c r="A11885" t="s">
        <v>706</v>
      </c>
      <c r="B11885" t="s">
        <v>30</v>
      </c>
      <c r="E11885" s="3">
        <f>HYPERLINK("https://sao.dolgi.msk.ru/account/1404201866/", 1404201866)</f>
        <v>1404201866</v>
      </c>
      <c r="F11885">
        <v>-2436.2600000000002</v>
      </c>
    </row>
    <row r="11886" spans="1:6" hidden="1" x14ac:dyDescent="0.25">
      <c r="A11886" t="s">
        <v>706</v>
      </c>
      <c r="B11886" t="s">
        <v>31</v>
      </c>
      <c r="E11886" s="3">
        <f>HYPERLINK("https://sao.dolgi.msk.ru/account/1404201874/", 1404201874)</f>
        <v>1404201874</v>
      </c>
      <c r="F11886">
        <v>-2460.1</v>
      </c>
    </row>
    <row r="11887" spans="1:6" x14ac:dyDescent="0.25">
      <c r="A11887" t="s">
        <v>706</v>
      </c>
      <c r="B11887" t="s">
        <v>32</v>
      </c>
      <c r="C11887" s="5" t="str">
        <f t="shared" ref="C11887:C11888" si="491">" кв. "&amp;B11887</f>
        <v xml:space="preserve"> кв. 28</v>
      </c>
      <c r="D11887" s="5" t="str">
        <f>CONCATENATE(A11887,C11887)</f>
        <v>Смольная ул., дом 65 кв. 28</v>
      </c>
      <c r="E11887" s="3">
        <f>HYPERLINK("https://sao.dolgi.msk.ru/account/1404201575/", 1404201575)</f>
        <v>1404201575</v>
      </c>
      <c r="F11887">
        <v>1983.2</v>
      </c>
    </row>
    <row r="11888" spans="1:6" x14ac:dyDescent="0.25">
      <c r="A11888" t="s">
        <v>706</v>
      </c>
      <c r="B11888" t="s">
        <v>33</v>
      </c>
      <c r="C11888" s="5" t="str">
        <f t="shared" si="491"/>
        <v xml:space="preserve"> кв. 29</v>
      </c>
      <c r="D11888" s="5" t="str">
        <f>CONCATENATE(A11888,C11888)</f>
        <v>Смольная ул., дом 65 кв. 29</v>
      </c>
      <c r="E11888" s="3">
        <f>HYPERLINK("https://sao.dolgi.msk.ru/account/1404202017/", 1404202017)</f>
        <v>1404202017</v>
      </c>
      <c r="F11888">
        <v>1005.83</v>
      </c>
    </row>
    <row r="11889" spans="1:6" hidden="1" x14ac:dyDescent="0.25">
      <c r="A11889" t="s">
        <v>706</v>
      </c>
      <c r="B11889" t="s">
        <v>34</v>
      </c>
      <c r="E11889" s="3">
        <f>HYPERLINK("https://sao.dolgi.msk.ru/account/1404202404/", 1404202404)</f>
        <v>1404202404</v>
      </c>
      <c r="F11889">
        <v>-1298.8</v>
      </c>
    </row>
    <row r="11890" spans="1:6" hidden="1" x14ac:dyDescent="0.25">
      <c r="A11890" t="s">
        <v>706</v>
      </c>
      <c r="B11890" t="s">
        <v>35</v>
      </c>
      <c r="E11890" s="3">
        <f>HYPERLINK("https://sao.dolgi.msk.ru/account/1404201751/", 1404201751)</f>
        <v>1404201751</v>
      </c>
      <c r="F11890">
        <v>-2930.38</v>
      </c>
    </row>
    <row r="11891" spans="1:6" hidden="1" x14ac:dyDescent="0.25">
      <c r="A11891" t="s">
        <v>706</v>
      </c>
      <c r="B11891" t="s">
        <v>36</v>
      </c>
      <c r="E11891" s="3">
        <f>HYPERLINK("https://sao.dolgi.msk.ru/account/1404201671/", 1404201671)</f>
        <v>1404201671</v>
      </c>
      <c r="F11891">
        <v>-958.31</v>
      </c>
    </row>
    <row r="11892" spans="1:6" hidden="1" x14ac:dyDescent="0.25">
      <c r="A11892" t="s">
        <v>706</v>
      </c>
      <c r="B11892" t="s">
        <v>36</v>
      </c>
      <c r="E11892" s="3">
        <f>HYPERLINK("https://sao.dolgi.msk.ru/account/1404202666/", 1404202666)</f>
        <v>1404202666</v>
      </c>
      <c r="F11892">
        <v>-1916.61</v>
      </c>
    </row>
    <row r="11893" spans="1:6" x14ac:dyDescent="0.25">
      <c r="A11893" t="s">
        <v>706</v>
      </c>
      <c r="B11893" t="s">
        <v>37</v>
      </c>
      <c r="C11893" s="5" t="str">
        <f>" кв. "&amp;B11893</f>
        <v xml:space="preserve"> кв. 33</v>
      </c>
      <c r="D11893" s="5" t="str">
        <f>CONCATENATE(A11893,C11893)</f>
        <v>Смольная ул., дом 65 кв. 33</v>
      </c>
      <c r="E11893" s="3">
        <f>HYPERLINK("https://sao.dolgi.msk.ru/account/1404202332/", 1404202332)</f>
        <v>1404202332</v>
      </c>
      <c r="F11893">
        <v>1002.67</v>
      </c>
    </row>
    <row r="11894" spans="1:6" hidden="1" x14ac:dyDescent="0.25">
      <c r="A11894" t="s">
        <v>706</v>
      </c>
      <c r="B11894" t="s">
        <v>38</v>
      </c>
      <c r="E11894" s="3">
        <f>HYPERLINK("https://sao.dolgi.msk.ru/account/1404202105/", 1404202105)</f>
        <v>1404202105</v>
      </c>
      <c r="F11894">
        <v>-1308.04</v>
      </c>
    </row>
    <row r="11895" spans="1:6" hidden="1" x14ac:dyDescent="0.25">
      <c r="A11895" t="s">
        <v>706</v>
      </c>
      <c r="B11895" t="s">
        <v>39</v>
      </c>
      <c r="E11895" s="3">
        <f>HYPERLINK("https://sao.dolgi.msk.ru/account/1404201807/", 1404201807)</f>
        <v>1404201807</v>
      </c>
      <c r="F11895">
        <v>-2921.16</v>
      </c>
    </row>
    <row r="11896" spans="1:6" hidden="1" x14ac:dyDescent="0.25">
      <c r="A11896" t="s">
        <v>706</v>
      </c>
      <c r="B11896" t="s">
        <v>40</v>
      </c>
      <c r="E11896" s="3">
        <f>HYPERLINK("https://sao.dolgi.msk.ru/account/1404201938/", 1404201938)</f>
        <v>1404201938</v>
      </c>
      <c r="F11896">
        <v>-2884.17</v>
      </c>
    </row>
    <row r="11897" spans="1:6" hidden="1" x14ac:dyDescent="0.25">
      <c r="A11897" t="s">
        <v>706</v>
      </c>
      <c r="B11897" t="s">
        <v>41</v>
      </c>
      <c r="E11897" s="3">
        <f>HYPERLINK("https://sao.dolgi.msk.ru/account/1404201663/", 1404201663)</f>
        <v>1404201663</v>
      </c>
      <c r="F11897">
        <v>-1465.19</v>
      </c>
    </row>
    <row r="11898" spans="1:6" hidden="1" x14ac:dyDescent="0.25">
      <c r="A11898" t="s">
        <v>706</v>
      </c>
      <c r="B11898" t="s">
        <v>42</v>
      </c>
      <c r="E11898" s="3">
        <f>HYPERLINK("https://sao.dolgi.msk.ru/account/1404201655/", 1404201655)</f>
        <v>1404201655</v>
      </c>
      <c r="F11898">
        <v>-2973.24</v>
      </c>
    </row>
    <row r="11899" spans="1:6" hidden="1" x14ac:dyDescent="0.25">
      <c r="A11899" t="s">
        <v>706</v>
      </c>
      <c r="B11899" t="s">
        <v>43</v>
      </c>
      <c r="E11899" s="3">
        <f>HYPERLINK("https://sao.dolgi.msk.ru/account/1404202076/", 1404202076)</f>
        <v>1404202076</v>
      </c>
      <c r="F11899">
        <v>-2925.78</v>
      </c>
    </row>
    <row r="11900" spans="1:6" x14ac:dyDescent="0.25">
      <c r="A11900" t="s">
        <v>706</v>
      </c>
      <c r="B11900" t="s">
        <v>44</v>
      </c>
      <c r="C11900" s="5" t="str">
        <f>" кв. "&amp;B11900</f>
        <v xml:space="preserve"> кв. 40</v>
      </c>
      <c r="D11900" s="5" t="str">
        <f>CONCATENATE(A11900,C11900)</f>
        <v>Смольная ул., дом 65 кв. 40</v>
      </c>
      <c r="E11900" s="3">
        <f>HYPERLINK("https://sao.dolgi.msk.ru/account/1404202084/", 1404202084)</f>
        <v>1404202084</v>
      </c>
      <c r="F11900">
        <v>655.92</v>
      </c>
    </row>
    <row r="11901" spans="1:6" hidden="1" x14ac:dyDescent="0.25">
      <c r="A11901" t="s">
        <v>706</v>
      </c>
      <c r="B11901" t="s">
        <v>44</v>
      </c>
      <c r="E11901" s="3">
        <f>HYPERLINK("https://sao.dolgi.msk.ru/account/1404202244/", 1404202244)</f>
        <v>1404202244</v>
      </c>
      <c r="F11901">
        <v>-737.76</v>
      </c>
    </row>
    <row r="11902" spans="1:6" x14ac:dyDescent="0.25">
      <c r="A11902" t="s">
        <v>706</v>
      </c>
      <c r="B11902" t="s">
        <v>44</v>
      </c>
      <c r="C11902" s="5" t="str">
        <f>" кв. "&amp;B11902</f>
        <v xml:space="preserve"> кв. 40</v>
      </c>
      <c r="D11902" s="5" t="str">
        <f>CONCATENATE(A11902,C11902)</f>
        <v>Смольная ул., дом 65 кв. 40</v>
      </c>
      <c r="E11902" s="3">
        <f>HYPERLINK("https://sao.dolgi.msk.ru/account/1404202551/", 1404202551)</f>
        <v>1404202551</v>
      </c>
      <c r="F11902">
        <v>724.25</v>
      </c>
    </row>
    <row r="11903" spans="1:6" hidden="1" x14ac:dyDescent="0.25">
      <c r="A11903" t="s">
        <v>706</v>
      </c>
      <c r="B11903" t="s">
        <v>45</v>
      </c>
      <c r="E11903" s="3">
        <f>HYPERLINK("https://sao.dolgi.msk.ru/account/1404202068/", 1404202068)</f>
        <v>1404202068</v>
      </c>
      <c r="F11903">
        <v>-1469.81</v>
      </c>
    </row>
    <row r="11904" spans="1:6" hidden="1" x14ac:dyDescent="0.25">
      <c r="A11904" t="s">
        <v>706</v>
      </c>
      <c r="B11904" t="s">
        <v>46</v>
      </c>
      <c r="E11904" s="3">
        <f>HYPERLINK("https://sao.dolgi.msk.ru/account/1404201639/", 1404201639)</f>
        <v>1404201639</v>
      </c>
      <c r="F11904">
        <v>-2052.19</v>
      </c>
    </row>
    <row r="11905" spans="1:6" x14ac:dyDescent="0.25">
      <c r="A11905" t="s">
        <v>706</v>
      </c>
      <c r="B11905" t="s">
        <v>47</v>
      </c>
      <c r="C11905" s="5" t="str">
        <f>" кв. "&amp;B11905</f>
        <v xml:space="preserve"> кв. 43</v>
      </c>
      <c r="D11905" s="5" t="str">
        <f>CONCATENATE(A11905,C11905)</f>
        <v>Смольная ул., дом 65 кв. 43</v>
      </c>
      <c r="E11905" s="3">
        <f>HYPERLINK("https://sao.dolgi.msk.ru/account/1404201647/", 1404201647)</f>
        <v>1404201647</v>
      </c>
      <c r="F11905">
        <v>1004.26</v>
      </c>
    </row>
    <row r="11906" spans="1:6" hidden="1" x14ac:dyDescent="0.25">
      <c r="A11906" t="s">
        <v>706</v>
      </c>
      <c r="B11906" t="s">
        <v>48</v>
      </c>
      <c r="E11906" s="3">
        <f>HYPERLINK("https://sao.dolgi.msk.ru/account/1404201794/", 1404201794)</f>
        <v>1404201794</v>
      </c>
      <c r="F11906">
        <v>-2888.8</v>
      </c>
    </row>
    <row r="11907" spans="1:6" hidden="1" x14ac:dyDescent="0.25">
      <c r="A11907" t="s">
        <v>706</v>
      </c>
      <c r="B11907" t="s">
        <v>49</v>
      </c>
      <c r="E11907" s="3">
        <f>HYPERLINK("https://sao.dolgi.msk.ru/account/1404202308/", 1404202308)</f>
        <v>1404202308</v>
      </c>
      <c r="F11907">
        <v>-1469.81</v>
      </c>
    </row>
    <row r="11908" spans="1:6" hidden="1" x14ac:dyDescent="0.25">
      <c r="A11908" t="s">
        <v>706</v>
      </c>
      <c r="B11908" t="s">
        <v>50</v>
      </c>
      <c r="E11908" s="3">
        <f>HYPERLINK("https://sao.dolgi.msk.ru/account/1404202316/", 1404202316)</f>
        <v>1404202316</v>
      </c>
      <c r="F11908">
        <v>-1728.27</v>
      </c>
    </row>
    <row r="11909" spans="1:6" hidden="1" x14ac:dyDescent="0.25">
      <c r="A11909" t="s">
        <v>706</v>
      </c>
      <c r="B11909" t="s">
        <v>51</v>
      </c>
      <c r="E11909" s="3">
        <f>HYPERLINK("https://sao.dolgi.msk.ru/account/1404202527/", 1404202527)</f>
        <v>1404202527</v>
      </c>
      <c r="F11909">
        <v>0</v>
      </c>
    </row>
    <row r="11910" spans="1:6" hidden="1" x14ac:dyDescent="0.25">
      <c r="A11910" t="s">
        <v>706</v>
      </c>
      <c r="B11910" t="s">
        <v>52</v>
      </c>
      <c r="E11910" s="3">
        <f>HYPERLINK("https://sao.dolgi.msk.ru/account/1404202252/", 1404202252)</f>
        <v>1404202252</v>
      </c>
      <c r="F11910">
        <v>-1984.67</v>
      </c>
    </row>
    <row r="11911" spans="1:6" hidden="1" x14ac:dyDescent="0.25">
      <c r="A11911" t="s">
        <v>706</v>
      </c>
      <c r="B11911" t="s">
        <v>53</v>
      </c>
      <c r="E11911" s="3">
        <f>HYPERLINK("https://sao.dolgi.msk.ru/account/1404201604/", 1404201604)</f>
        <v>1404201604</v>
      </c>
      <c r="F11911">
        <v>-1302.57</v>
      </c>
    </row>
    <row r="11912" spans="1:6" hidden="1" x14ac:dyDescent="0.25">
      <c r="A11912" t="s">
        <v>706</v>
      </c>
      <c r="B11912" t="s">
        <v>54</v>
      </c>
      <c r="E11912" s="3">
        <f>HYPERLINK("https://sao.dolgi.msk.ru/account/1404202279/", 1404202279)</f>
        <v>1404202279</v>
      </c>
      <c r="F11912">
        <v>0</v>
      </c>
    </row>
    <row r="11913" spans="1:6" x14ac:dyDescent="0.25">
      <c r="A11913" t="s">
        <v>706</v>
      </c>
      <c r="B11913" t="s">
        <v>55</v>
      </c>
      <c r="C11913" s="5" t="str">
        <f>" кв. "&amp;B11913</f>
        <v xml:space="preserve"> кв. 51</v>
      </c>
      <c r="D11913" s="5" t="str">
        <f>CONCATENATE(A11913,C11913)</f>
        <v>Смольная ул., дом 65 кв. 51</v>
      </c>
      <c r="E11913" s="3">
        <f>HYPERLINK("https://sao.dolgi.msk.ru/account/1404202236/", 1404202236)</f>
        <v>1404202236</v>
      </c>
      <c r="F11913">
        <v>1653.6</v>
      </c>
    </row>
    <row r="11914" spans="1:6" hidden="1" x14ac:dyDescent="0.25">
      <c r="A11914" t="s">
        <v>706</v>
      </c>
      <c r="B11914" t="s">
        <v>56</v>
      </c>
      <c r="E11914" s="3">
        <f>HYPERLINK("https://sao.dolgi.msk.ru/account/1404201487/", 1404201487)</f>
        <v>1404201487</v>
      </c>
      <c r="F11914">
        <v>-5040.87</v>
      </c>
    </row>
    <row r="11915" spans="1:6" x14ac:dyDescent="0.25">
      <c r="A11915" t="s">
        <v>706</v>
      </c>
      <c r="B11915" t="s">
        <v>57</v>
      </c>
      <c r="C11915" s="5" t="str">
        <f>" кв. "&amp;B11915</f>
        <v xml:space="preserve"> кв. 53</v>
      </c>
      <c r="D11915" s="5" t="str">
        <f>CONCATENATE(A11915,C11915)</f>
        <v>Смольная ул., дом 65 кв. 53</v>
      </c>
      <c r="E11915" s="3">
        <f>HYPERLINK("https://sao.dolgi.msk.ru/account/1404202287/", 1404202287)</f>
        <v>1404202287</v>
      </c>
      <c r="F11915">
        <v>1002.67</v>
      </c>
    </row>
    <row r="11916" spans="1:6" hidden="1" x14ac:dyDescent="0.25">
      <c r="A11916" t="s">
        <v>706</v>
      </c>
      <c r="B11916" t="s">
        <v>58</v>
      </c>
      <c r="E11916" s="3">
        <f>HYPERLINK("https://sao.dolgi.msk.ru/account/1404201495/", 1404201495)</f>
        <v>1404201495</v>
      </c>
      <c r="F11916">
        <v>-1542.62</v>
      </c>
    </row>
    <row r="11917" spans="1:6" hidden="1" x14ac:dyDescent="0.25">
      <c r="A11917" t="s">
        <v>706</v>
      </c>
      <c r="B11917" t="s">
        <v>59</v>
      </c>
      <c r="E11917" s="3">
        <f>HYPERLINK("https://sao.dolgi.msk.ru/account/1404202535/", 1404202535)</f>
        <v>1404202535</v>
      </c>
      <c r="F11917">
        <v>-2618.25</v>
      </c>
    </row>
    <row r="11918" spans="1:6" hidden="1" x14ac:dyDescent="0.25">
      <c r="A11918" t="s">
        <v>706</v>
      </c>
      <c r="B11918" t="s">
        <v>60</v>
      </c>
      <c r="E11918" s="3">
        <f>HYPERLINK("https://sao.dolgi.msk.ru/account/1404202295/", 1404202295)</f>
        <v>1404202295</v>
      </c>
      <c r="F11918">
        <v>-5241.51</v>
      </c>
    </row>
    <row r="11919" spans="1:6" x14ac:dyDescent="0.25">
      <c r="A11919" t="s">
        <v>706</v>
      </c>
      <c r="B11919" t="s">
        <v>61</v>
      </c>
      <c r="C11919" s="5" t="str">
        <f>" кв. "&amp;B11919</f>
        <v xml:space="preserve"> кв. 57</v>
      </c>
      <c r="D11919" s="5" t="str">
        <f>CONCATENATE(A11919,C11919)</f>
        <v>Смольная ул., дом 65 кв. 57</v>
      </c>
      <c r="E11919" s="3">
        <f>HYPERLINK("https://sao.dolgi.msk.ru/account/1404201612/", 1404201612)</f>
        <v>1404201612</v>
      </c>
      <c r="F11919">
        <v>1002.67</v>
      </c>
    </row>
    <row r="11920" spans="1:6" hidden="1" x14ac:dyDescent="0.25">
      <c r="A11920" t="s">
        <v>706</v>
      </c>
      <c r="B11920" t="s">
        <v>62</v>
      </c>
      <c r="E11920" s="3">
        <f>HYPERLINK("https://sao.dolgi.msk.ru/account/1404202041/", 1404202041)</f>
        <v>1404202041</v>
      </c>
      <c r="F11920">
        <v>-2047.57</v>
      </c>
    </row>
    <row r="11921" spans="1:6" hidden="1" x14ac:dyDescent="0.25">
      <c r="A11921" t="s">
        <v>706</v>
      </c>
      <c r="B11921" t="s">
        <v>63</v>
      </c>
      <c r="E11921" s="3">
        <f>HYPERLINK("https://sao.dolgi.msk.ru/account/1404201903/", 1404201903)</f>
        <v>1404201903</v>
      </c>
      <c r="F11921">
        <v>-2916.53</v>
      </c>
    </row>
    <row r="11922" spans="1:6" hidden="1" x14ac:dyDescent="0.25">
      <c r="A11922" t="s">
        <v>706</v>
      </c>
      <c r="B11922" t="s">
        <v>64</v>
      </c>
      <c r="E11922" s="3">
        <f>HYPERLINK("https://sao.dolgi.msk.ru/account/1404201786/", 1404201786)</f>
        <v>1404201786</v>
      </c>
      <c r="F11922">
        <v>-1694.74</v>
      </c>
    </row>
    <row r="11923" spans="1:6" hidden="1" x14ac:dyDescent="0.25">
      <c r="A11923" t="s">
        <v>706</v>
      </c>
      <c r="B11923" t="s">
        <v>65</v>
      </c>
      <c r="E11923" s="3">
        <f>HYPERLINK("https://sao.dolgi.msk.ru/account/1404202543/", 1404202543)</f>
        <v>1404202543</v>
      </c>
      <c r="F11923">
        <v>-1465.19</v>
      </c>
    </row>
    <row r="11924" spans="1:6" hidden="1" x14ac:dyDescent="0.25">
      <c r="A11924" t="s">
        <v>706</v>
      </c>
      <c r="B11924" t="s">
        <v>66</v>
      </c>
      <c r="E11924" s="3">
        <f>HYPERLINK("https://sao.dolgi.msk.ru/account/1404201508/", 1404201508)</f>
        <v>1404201508</v>
      </c>
      <c r="F11924">
        <v>0</v>
      </c>
    </row>
    <row r="11925" spans="1:6" hidden="1" x14ac:dyDescent="0.25">
      <c r="A11925" t="s">
        <v>706</v>
      </c>
      <c r="B11925" t="s">
        <v>67</v>
      </c>
      <c r="E11925" s="3">
        <f>HYPERLINK("https://sao.dolgi.msk.ru/account/1404201516/", 1404201516)</f>
        <v>1404201516</v>
      </c>
      <c r="F11925">
        <v>0</v>
      </c>
    </row>
    <row r="11926" spans="1:6" hidden="1" x14ac:dyDescent="0.25">
      <c r="A11926" t="s">
        <v>706</v>
      </c>
      <c r="B11926" t="s">
        <v>68</v>
      </c>
      <c r="E11926" s="3">
        <f>HYPERLINK("https://sao.dolgi.msk.ru/account/1404201911/", 1404201911)</f>
        <v>1404201911</v>
      </c>
      <c r="F11926">
        <v>-2467.86</v>
      </c>
    </row>
    <row r="11927" spans="1:6" hidden="1" x14ac:dyDescent="0.25">
      <c r="A11927" t="s">
        <v>706</v>
      </c>
      <c r="B11927" t="s">
        <v>69</v>
      </c>
      <c r="E11927" s="3">
        <f>HYPERLINK("https://sao.dolgi.msk.ru/account/1404201524/", 1404201524)</f>
        <v>1404201524</v>
      </c>
      <c r="F11927">
        <v>-1460.57</v>
      </c>
    </row>
    <row r="11928" spans="1:6" hidden="1" x14ac:dyDescent="0.25">
      <c r="A11928" t="s">
        <v>706</v>
      </c>
      <c r="B11928" t="s">
        <v>70</v>
      </c>
      <c r="E11928" s="3">
        <f>HYPERLINK("https://sao.dolgi.msk.ru/account/1404202092/", 1404202092)</f>
        <v>1404202092</v>
      </c>
      <c r="F11928">
        <v>-1728.27</v>
      </c>
    </row>
    <row r="11929" spans="1:6" hidden="1" x14ac:dyDescent="0.25">
      <c r="A11929" t="s">
        <v>706</v>
      </c>
      <c r="B11929" t="s">
        <v>71</v>
      </c>
      <c r="E11929" s="3">
        <f>HYPERLINK("https://sao.dolgi.msk.ru/account/1404202607/", 1404202607)</f>
        <v>1404202607</v>
      </c>
      <c r="F11929">
        <v>0</v>
      </c>
    </row>
    <row r="11930" spans="1:6" x14ac:dyDescent="0.25">
      <c r="A11930" t="s">
        <v>706</v>
      </c>
      <c r="B11930" t="s">
        <v>72</v>
      </c>
      <c r="C11930" s="5" t="str">
        <f t="shared" ref="C11930:C11932" si="492">" кв. "&amp;B11930</f>
        <v xml:space="preserve"> кв. 68</v>
      </c>
      <c r="D11930" s="5" t="str">
        <f>CONCATENATE(A11930,C11930)</f>
        <v>Смольная ул., дом 65 кв. 68</v>
      </c>
      <c r="E11930" s="3">
        <f>HYPERLINK("https://sao.dolgi.msk.ru/account/1404201532/", 1404201532)</f>
        <v>1404201532</v>
      </c>
      <c r="F11930">
        <v>1995.85</v>
      </c>
    </row>
    <row r="11931" spans="1:6" x14ac:dyDescent="0.25">
      <c r="A11931" t="s">
        <v>706</v>
      </c>
      <c r="B11931" t="s">
        <v>73</v>
      </c>
      <c r="C11931" s="5" t="str">
        <f t="shared" si="492"/>
        <v xml:space="preserve"> кв. 69</v>
      </c>
      <c r="D11931" s="5" t="str">
        <f>CONCATENATE(A11931,C11931)</f>
        <v>Смольная ул., дом 65 кв. 69</v>
      </c>
      <c r="E11931" s="3">
        <f>HYPERLINK("https://sao.dolgi.msk.ru/account/1404201823/", 1404201823)</f>
        <v>1404201823</v>
      </c>
      <c r="F11931">
        <v>986.86</v>
      </c>
    </row>
    <row r="11932" spans="1:6" x14ac:dyDescent="0.25">
      <c r="A11932" t="s">
        <v>706</v>
      </c>
      <c r="B11932" t="s">
        <v>74</v>
      </c>
      <c r="C11932" s="5" t="str">
        <f t="shared" si="492"/>
        <v xml:space="preserve"> кв. 70</v>
      </c>
      <c r="D11932" s="5" t="str">
        <f>CONCATENATE(A11932,C11932)</f>
        <v>Смольная ул., дом 65 кв. 70</v>
      </c>
      <c r="E11932" s="3">
        <f>HYPERLINK("https://sao.dolgi.msk.ru/account/1404202375/", 1404202375)</f>
        <v>1404202375</v>
      </c>
      <c r="F11932">
        <v>1407.54</v>
      </c>
    </row>
    <row r="11933" spans="1:6" hidden="1" x14ac:dyDescent="0.25">
      <c r="A11933" t="s">
        <v>706</v>
      </c>
      <c r="B11933" t="s">
        <v>75</v>
      </c>
      <c r="E11933" s="3">
        <f>HYPERLINK("https://sao.dolgi.msk.ru/account/1404202615/", 1404202615)</f>
        <v>1404202615</v>
      </c>
      <c r="F11933">
        <v>0</v>
      </c>
    </row>
    <row r="11934" spans="1:6" x14ac:dyDescent="0.25">
      <c r="A11934" t="s">
        <v>706</v>
      </c>
      <c r="B11934" t="s">
        <v>76</v>
      </c>
      <c r="C11934" s="5" t="str">
        <f>" кв. "&amp;B11934</f>
        <v xml:space="preserve"> кв. 72</v>
      </c>
      <c r="D11934" s="5" t="str">
        <f>CONCATENATE(A11934,C11934)</f>
        <v>Смольная ул., дом 65 кв. 72</v>
      </c>
      <c r="E11934" s="3">
        <f>HYPERLINK("https://sao.dolgi.msk.ru/account/1404201962/", 1404201962)</f>
        <v>1404201962</v>
      </c>
      <c r="F11934">
        <v>2008.51</v>
      </c>
    </row>
    <row r="11935" spans="1:6" hidden="1" x14ac:dyDescent="0.25">
      <c r="A11935" t="s">
        <v>706</v>
      </c>
      <c r="B11935" t="s">
        <v>77</v>
      </c>
      <c r="E11935" s="3">
        <f>HYPERLINK("https://sao.dolgi.msk.ru/account/1404201831/", 1404201831)</f>
        <v>1404201831</v>
      </c>
      <c r="F11935">
        <v>0</v>
      </c>
    </row>
    <row r="11936" spans="1:6" hidden="1" x14ac:dyDescent="0.25">
      <c r="A11936" t="s">
        <v>706</v>
      </c>
      <c r="B11936" t="s">
        <v>78</v>
      </c>
      <c r="E11936" s="3">
        <f>HYPERLINK("https://sao.dolgi.msk.ru/account/1404201989/", 1404201989)</f>
        <v>1404201989</v>
      </c>
      <c r="F11936">
        <v>-2042.95</v>
      </c>
    </row>
    <row r="11937" spans="1:6" hidden="1" x14ac:dyDescent="0.25">
      <c r="A11937" t="s">
        <v>706</v>
      </c>
      <c r="B11937" t="s">
        <v>79</v>
      </c>
      <c r="E11937" s="3">
        <f>HYPERLINK("https://sao.dolgi.msk.ru/account/1404202455/", 1404202455)</f>
        <v>1404202455</v>
      </c>
      <c r="F11937">
        <v>-672.64</v>
      </c>
    </row>
    <row r="11938" spans="1:6" hidden="1" x14ac:dyDescent="0.25">
      <c r="A11938" t="s">
        <v>706</v>
      </c>
      <c r="B11938" t="s">
        <v>80</v>
      </c>
      <c r="E11938" s="3">
        <f>HYPERLINK("https://sao.dolgi.msk.ru/account/1404202148/", 1404202148)</f>
        <v>1404202148</v>
      </c>
      <c r="F11938">
        <v>0</v>
      </c>
    </row>
    <row r="11939" spans="1:6" hidden="1" x14ac:dyDescent="0.25">
      <c r="A11939" t="s">
        <v>706</v>
      </c>
      <c r="B11939" t="s">
        <v>81</v>
      </c>
      <c r="E11939" s="3">
        <f>HYPERLINK("https://sao.dolgi.msk.ru/account/1404201719/", 1404201719)</f>
        <v>1404201719</v>
      </c>
      <c r="F11939">
        <v>-1465.19</v>
      </c>
    </row>
    <row r="11940" spans="1:6" x14ac:dyDescent="0.25">
      <c r="A11940" t="s">
        <v>706</v>
      </c>
      <c r="B11940" t="s">
        <v>82</v>
      </c>
      <c r="C11940" s="5" t="str">
        <f>" кв. "&amp;B11940</f>
        <v xml:space="preserve"> кв. 78</v>
      </c>
      <c r="D11940" s="5" t="str">
        <f>CONCATENATE(A11940,C11940)</f>
        <v>Смольная ул., дом 65 кв. 78</v>
      </c>
      <c r="E11940" s="3">
        <f>HYPERLINK("https://sao.dolgi.msk.ru/account/1404201727/", 1404201727)</f>
        <v>1404201727</v>
      </c>
      <c r="F11940">
        <v>1404.37</v>
      </c>
    </row>
    <row r="11941" spans="1:6" hidden="1" x14ac:dyDescent="0.25">
      <c r="A11941" t="s">
        <v>706</v>
      </c>
      <c r="B11941" t="s">
        <v>83</v>
      </c>
      <c r="E11941" s="3">
        <f>HYPERLINK("https://sao.dolgi.msk.ru/account/1404202383/", 1404202383)</f>
        <v>1404202383</v>
      </c>
      <c r="F11941">
        <v>-2673.58</v>
      </c>
    </row>
    <row r="11942" spans="1:6" hidden="1" x14ac:dyDescent="0.25">
      <c r="A11942" t="s">
        <v>706</v>
      </c>
      <c r="B11942" t="s">
        <v>84</v>
      </c>
      <c r="E11942" s="3">
        <f>HYPERLINK("https://sao.dolgi.msk.ru/account/1404201591/", 1404201591)</f>
        <v>1404201591</v>
      </c>
      <c r="F11942">
        <v>0</v>
      </c>
    </row>
    <row r="11943" spans="1:6" hidden="1" x14ac:dyDescent="0.25">
      <c r="A11943" t="s">
        <v>706</v>
      </c>
      <c r="B11943" t="s">
        <v>84</v>
      </c>
      <c r="E11943" s="3">
        <f>HYPERLINK("https://sao.dolgi.msk.ru/account/1404201997/", 1404201997)</f>
        <v>1404201997</v>
      </c>
      <c r="F11943">
        <v>-486.1</v>
      </c>
    </row>
    <row r="11944" spans="1:6" hidden="1" x14ac:dyDescent="0.25">
      <c r="A11944" t="s">
        <v>706</v>
      </c>
      <c r="B11944" t="s">
        <v>85</v>
      </c>
      <c r="E11944" s="3">
        <f>HYPERLINK("https://sao.dolgi.msk.ru/account/1404202623/", 1404202623)</f>
        <v>1404202623</v>
      </c>
      <c r="F11944">
        <v>-1233.93</v>
      </c>
    </row>
    <row r="11945" spans="1:6" hidden="1" x14ac:dyDescent="0.25">
      <c r="A11945" t="s">
        <v>706</v>
      </c>
      <c r="B11945" t="s">
        <v>86</v>
      </c>
      <c r="E11945" s="3">
        <f>HYPERLINK("https://sao.dolgi.msk.ru/account/1404202009/", 1404202009)</f>
        <v>1404202009</v>
      </c>
      <c r="F11945">
        <v>-1035.33</v>
      </c>
    </row>
    <row r="11946" spans="1:6" hidden="1" x14ac:dyDescent="0.25">
      <c r="A11946" t="s">
        <v>706</v>
      </c>
      <c r="B11946" t="s">
        <v>87</v>
      </c>
      <c r="E11946" s="3">
        <f>HYPERLINK("https://sao.dolgi.msk.ru/account/1404201567/", 1404201567)</f>
        <v>1404201567</v>
      </c>
      <c r="F11946">
        <v>0</v>
      </c>
    </row>
    <row r="11947" spans="1:6" hidden="1" x14ac:dyDescent="0.25">
      <c r="A11947" t="s">
        <v>706</v>
      </c>
      <c r="B11947" t="s">
        <v>88</v>
      </c>
      <c r="E11947" s="3">
        <f>HYPERLINK("https://sao.dolgi.msk.ru/account/1404201735/", 1404201735)</f>
        <v>1404201735</v>
      </c>
      <c r="F11947">
        <v>-2925.78</v>
      </c>
    </row>
    <row r="11948" spans="1:6" hidden="1" x14ac:dyDescent="0.25">
      <c r="A11948" t="s">
        <v>706</v>
      </c>
      <c r="B11948" t="s">
        <v>89</v>
      </c>
      <c r="E11948" s="3">
        <f>HYPERLINK("https://sao.dolgi.msk.ru/account/1404201858/", 1404201858)</f>
        <v>1404201858</v>
      </c>
      <c r="F11948">
        <v>-1469.81</v>
      </c>
    </row>
    <row r="11949" spans="1:6" hidden="1" x14ac:dyDescent="0.25">
      <c r="A11949" t="s">
        <v>706</v>
      </c>
      <c r="B11949" t="s">
        <v>90</v>
      </c>
      <c r="E11949" s="3">
        <f>HYPERLINK("https://sao.dolgi.msk.ru/account/1404202391/", 1404202391)</f>
        <v>1404202391</v>
      </c>
      <c r="F11949">
        <v>-2061.44</v>
      </c>
    </row>
    <row r="11950" spans="1:6" hidden="1" x14ac:dyDescent="0.25">
      <c r="A11950" t="s">
        <v>706</v>
      </c>
      <c r="B11950" t="s">
        <v>91</v>
      </c>
      <c r="E11950" s="3">
        <f>HYPERLINK("https://sao.dolgi.msk.ru/account/1404202172/", 1404202172)</f>
        <v>1404202172</v>
      </c>
      <c r="F11950">
        <v>-2898.04</v>
      </c>
    </row>
    <row r="11951" spans="1:6" hidden="1" x14ac:dyDescent="0.25">
      <c r="A11951" t="s">
        <v>706</v>
      </c>
      <c r="B11951" t="s">
        <v>92</v>
      </c>
      <c r="E11951" s="3">
        <f>HYPERLINK("https://sao.dolgi.msk.ru/account/1404201583/", 1404201583)</f>
        <v>1404201583</v>
      </c>
      <c r="F11951">
        <v>0</v>
      </c>
    </row>
    <row r="11952" spans="1:6" hidden="1" x14ac:dyDescent="0.25">
      <c r="A11952" t="s">
        <v>706</v>
      </c>
      <c r="B11952" t="s">
        <v>93</v>
      </c>
      <c r="E11952" s="3">
        <f>HYPERLINK("https://sao.dolgi.msk.ru/account/1404202471/", 1404202471)</f>
        <v>1404202471</v>
      </c>
      <c r="F11952">
        <v>-1469.81</v>
      </c>
    </row>
    <row r="11953" spans="1:6" hidden="1" x14ac:dyDescent="0.25">
      <c r="A11953" t="s">
        <v>706</v>
      </c>
      <c r="B11953" t="s">
        <v>94</v>
      </c>
      <c r="E11953" s="3">
        <f>HYPERLINK("https://sao.dolgi.msk.ru/account/1404202201/", 1404202201)</f>
        <v>1404202201</v>
      </c>
      <c r="F11953">
        <v>-2052.19</v>
      </c>
    </row>
    <row r="11954" spans="1:6" hidden="1" x14ac:dyDescent="0.25">
      <c r="A11954" t="s">
        <v>706</v>
      </c>
      <c r="B11954" t="s">
        <v>95</v>
      </c>
      <c r="E11954" s="3">
        <f>HYPERLINK("https://sao.dolgi.msk.ru/account/1404202412/", 1404202412)</f>
        <v>1404202412</v>
      </c>
      <c r="F11954">
        <v>-1455.96</v>
      </c>
    </row>
    <row r="11955" spans="1:6" hidden="1" x14ac:dyDescent="0.25">
      <c r="A11955" t="s">
        <v>706</v>
      </c>
      <c r="B11955" t="s">
        <v>96</v>
      </c>
      <c r="E11955" s="3">
        <f>HYPERLINK("https://sao.dolgi.msk.ru/account/1404202025/", 1404202025)</f>
        <v>1404202025</v>
      </c>
      <c r="F11955">
        <v>-2935.01</v>
      </c>
    </row>
    <row r="11956" spans="1:6" hidden="1" x14ac:dyDescent="0.25">
      <c r="A11956" t="s">
        <v>706</v>
      </c>
      <c r="B11956" t="s">
        <v>97</v>
      </c>
      <c r="E11956" s="3">
        <f>HYPERLINK("https://sao.dolgi.msk.ru/account/1404202498/", 1404202498)</f>
        <v>1404202498</v>
      </c>
      <c r="F11956">
        <v>-465.44</v>
      </c>
    </row>
    <row r="11957" spans="1:6" hidden="1" x14ac:dyDescent="0.25">
      <c r="A11957" t="s">
        <v>706</v>
      </c>
      <c r="B11957" t="s">
        <v>98</v>
      </c>
      <c r="E11957" s="3">
        <f>HYPERLINK("https://sao.dolgi.msk.ru/account/1404202033/", 1404202033)</f>
        <v>1404202033</v>
      </c>
      <c r="F11957">
        <v>-2061.44</v>
      </c>
    </row>
    <row r="11958" spans="1:6" hidden="1" x14ac:dyDescent="0.25">
      <c r="A11958" t="s">
        <v>706</v>
      </c>
      <c r="B11958" t="s">
        <v>99</v>
      </c>
      <c r="E11958" s="3">
        <f>HYPERLINK("https://sao.dolgi.msk.ru/account/1404202228/", 1404202228)</f>
        <v>1404202228</v>
      </c>
      <c r="F11958">
        <v>-1922.62</v>
      </c>
    </row>
    <row r="11959" spans="1:6" hidden="1" x14ac:dyDescent="0.25">
      <c r="A11959" t="s">
        <v>706</v>
      </c>
      <c r="B11959" t="s">
        <v>100</v>
      </c>
      <c r="E11959" s="3">
        <f>HYPERLINK("https://sao.dolgi.msk.ru/account/1404201882/", 1404201882)</f>
        <v>1404201882</v>
      </c>
      <c r="F11959">
        <v>0</v>
      </c>
    </row>
    <row r="11960" spans="1:6" hidden="1" x14ac:dyDescent="0.25">
      <c r="A11960" t="s">
        <v>706</v>
      </c>
      <c r="B11960" t="s">
        <v>101</v>
      </c>
      <c r="E11960" s="3">
        <f>HYPERLINK("https://sao.dolgi.msk.ru/account/1404201778/", 1404201778)</f>
        <v>1404201778</v>
      </c>
      <c r="F11960">
        <v>-2588.7199999999998</v>
      </c>
    </row>
    <row r="11961" spans="1:6" hidden="1" x14ac:dyDescent="0.25">
      <c r="A11961" t="s">
        <v>706</v>
      </c>
      <c r="B11961" t="s">
        <v>102</v>
      </c>
      <c r="E11961" s="3">
        <f>HYPERLINK("https://sao.dolgi.msk.ru/account/1404202519/", 1404202519)</f>
        <v>1404202519</v>
      </c>
      <c r="F11961">
        <v>-1824.42</v>
      </c>
    </row>
    <row r="11962" spans="1:6" hidden="1" x14ac:dyDescent="0.25">
      <c r="A11962" t="s">
        <v>707</v>
      </c>
      <c r="B11962" t="s">
        <v>77</v>
      </c>
      <c r="E11962" s="3">
        <f>HYPERLINK("https://sao.dolgi.msk.ru/account/1404204004/", 1404204004)</f>
        <v>1404204004</v>
      </c>
      <c r="F11962">
        <v>-1653.87</v>
      </c>
    </row>
    <row r="11963" spans="1:6" x14ac:dyDescent="0.25">
      <c r="A11963" t="s">
        <v>707</v>
      </c>
      <c r="B11963" t="s">
        <v>78</v>
      </c>
      <c r="C11963" s="5" t="str">
        <f t="shared" ref="C11963:C11965" si="493">" кв. "&amp;B11963</f>
        <v xml:space="preserve"> кв. 74</v>
      </c>
      <c r="D11963" s="5" t="str">
        <f>CONCATENATE(A11963,C11963)</f>
        <v>Смольная ул., дом 67 к.2 кв. 74</v>
      </c>
      <c r="E11963" s="3">
        <f>HYPERLINK("https://sao.dolgi.msk.ru/account/1404202877/", 1404202877)</f>
        <v>1404202877</v>
      </c>
      <c r="F11963">
        <v>2676.5</v>
      </c>
    </row>
    <row r="11964" spans="1:6" x14ac:dyDescent="0.25">
      <c r="A11964" t="s">
        <v>707</v>
      </c>
      <c r="B11964" t="s">
        <v>79</v>
      </c>
      <c r="C11964" s="5" t="str">
        <f t="shared" si="493"/>
        <v xml:space="preserve"> кв. 75</v>
      </c>
      <c r="D11964" s="5" t="str">
        <f>CONCATENATE(A11964,C11964)</f>
        <v>Смольная ул., дом 67 к.2 кв. 75</v>
      </c>
      <c r="E11964" s="3">
        <f>HYPERLINK("https://sao.dolgi.msk.ru/account/1404203386/", 1404203386)</f>
        <v>1404203386</v>
      </c>
      <c r="F11964">
        <v>1916.78</v>
      </c>
    </row>
    <row r="11965" spans="1:6" x14ac:dyDescent="0.25">
      <c r="A11965" t="s">
        <v>707</v>
      </c>
      <c r="B11965" t="s">
        <v>80</v>
      </c>
      <c r="C11965" s="5" t="str">
        <f t="shared" si="493"/>
        <v xml:space="preserve"> кв. 76</v>
      </c>
      <c r="D11965" s="5" t="str">
        <f>CONCATENATE(A11965,C11965)</f>
        <v>Смольная ул., дом 67 к.2 кв. 76</v>
      </c>
      <c r="E11965" s="3">
        <f>HYPERLINK("https://sao.dolgi.msk.ru/account/1404204012/", 1404204012)</f>
        <v>1404204012</v>
      </c>
      <c r="F11965">
        <v>1638.43</v>
      </c>
    </row>
    <row r="11966" spans="1:6" hidden="1" x14ac:dyDescent="0.25">
      <c r="A11966" t="s">
        <v>707</v>
      </c>
      <c r="B11966" t="s">
        <v>81</v>
      </c>
      <c r="E11966" s="3">
        <f>HYPERLINK("https://sao.dolgi.msk.ru/account/1404203204/", 1404203204)</f>
        <v>1404203204</v>
      </c>
      <c r="F11966">
        <v>-1016.97</v>
      </c>
    </row>
    <row r="11967" spans="1:6" hidden="1" x14ac:dyDescent="0.25">
      <c r="A11967" t="s">
        <v>707</v>
      </c>
      <c r="B11967" t="s">
        <v>82</v>
      </c>
      <c r="E11967" s="3">
        <f>HYPERLINK("https://sao.dolgi.msk.ru/account/1404203757/", 1404203757)</f>
        <v>1404203757</v>
      </c>
      <c r="F11967">
        <v>0</v>
      </c>
    </row>
    <row r="11968" spans="1:6" hidden="1" x14ac:dyDescent="0.25">
      <c r="A11968" t="s">
        <v>707</v>
      </c>
      <c r="B11968" t="s">
        <v>83</v>
      </c>
      <c r="E11968" s="3">
        <f>HYPERLINK("https://sao.dolgi.msk.ru/account/1404203546/", 1404203546)</f>
        <v>1404203546</v>
      </c>
      <c r="F11968">
        <v>-1395.86</v>
      </c>
    </row>
    <row r="11969" spans="1:6" hidden="1" x14ac:dyDescent="0.25">
      <c r="A11969" t="s">
        <v>707</v>
      </c>
      <c r="B11969" t="s">
        <v>84</v>
      </c>
      <c r="E11969" s="3">
        <f>HYPERLINK("https://sao.dolgi.msk.ru/account/1404203087/", 1404203087)</f>
        <v>1404203087</v>
      </c>
      <c r="F11969">
        <v>0</v>
      </c>
    </row>
    <row r="11970" spans="1:6" hidden="1" x14ac:dyDescent="0.25">
      <c r="A11970" t="s">
        <v>707</v>
      </c>
      <c r="B11970" t="s">
        <v>85</v>
      </c>
      <c r="E11970" s="3">
        <f>HYPERLINK("https://sao.dolgi.msk.ru/account/1404202885/", 1404202885)</f>
        <v>1404202885</v>
      </c>
      <c r="F11970">
        <v>0</v>
      </c>
    </row>
    <row r="11971" spans="1:6" hidden="1" x14ac:dyDescent="0.25">
      <c r="A11971" t="s">
        <v>707</v>
      </c>
      <c r="B11971" t="s">
        <v>86</v>
      </c>
      <c r="E11971" s="3">
        <f>HYPERLINK("https://sao.dolgi.msk.ru/account/1404203212/", 1404203212)</f>
        <v>1404203212</v>
      </c>
      <c r="F11971">
        <v>-3471.17</v>
      </c>
    </row>
    <row r="11972" spans="1:6" hidden="1" x14ac:dyDescent="0.25">
      <c r="A11972" t="s">
        <v>707</v>
      </c>
      <c r="B11972" t="s">
        <v>87</v>
      </c>
      <c r="E11972" s="3">
        <f>HYPERLINK("https://sao.dolgi.msk.ru/account/1404203917/", 1404203917)</f>
        <v>1404203917</v>
      </c>
      <c r="F11972">
        <v>-4865.3100000000004</v>
      </c>
    </row>
    <row r="11973" spans="1:6" hidden="1" x14ac:dyDescent="0.25">
      <c r="A11973" t="s">
        <v>707</v>
      </c>
      <c r="B11973" t="s">
        <v>88</v>
      </c>
      <c r="E11973" s="3">
        <f>HYPERLINK("https://sao.dolgi.msk.ru/account/1404204039/", 1404204039)</f>
        <v>1404204039</v>
      </c>
      <c r="F11973">
        <v>0</v>
      </c>
    </row>
    <row r="11974" spans="1:6" hidden="1" x14ac:dyDescent="0.25">
      <c r="A11974" t="s">
        <v>707</v>
      </c>
      <c r="B11974" t="s">
        <v>89</v>
      </c>
      <c r="E11974" s="3">
        <f>HYPERLINK("https://sao.dolgi.msk.ru/account/1404204047/", 1404204047)</f>
        <v>1404204047</v>
      </c>
      <c r="F11974">
        <v>-2417.35</v>
      </c>
    </row>
    <row r="11975" spans="1:6" x14ac:dyDescent="0.25">
      <c r="A11975" t="s">
        <v>707</v>
      </c>
      <c r="B11975" t="s">
        <v>90</v>
      </c>
      <c r="C11975" s="5" t="str">
        <f t="shared" ref="C11975:C11976" si="494">" кв. "&amp;B11975</f>
        <v xml:space="preserve"> кв. 86</v>
      </c>
      <c r="D11975" s="5" t="str">
        <f>CONCATENATE(A11975,C11975)</f>
        <v>Смольная ул., дом 67 к.2 кв. 86</v>
      </c>
      <c r="E11975" s="3">
        <f>HYPERLINK("https://sao.dolgi.msk.ru/account/1404203554/", 1404203554)</f>
        <v>1404203554</v>
      </c>
      <c r="F11975">
        <v>1986.36</v>
      </c>
    </row>
    <row r="11976" spans="1:6" x14ac:dyDescent="0.25">
      <c r="A11976" t="s">
        <v>707</v>
      </c>
      <c r="B11976" t="s">
        <v>91</v>
      </c>
      <c r="C11976" s="5" t="str">
        <f t="shared" si="494"/>
        <v xml:space="preserve"> кв. 87</v>
      </c>
      <c r="D11976" s="5" t="str">
        <f>CONCATENATE(A11976,C11976)</f>
        <v>Смольная ул., дом 67 к.2 кв. 87</v>
      </c>
      <c r="E11976" s="3">
        <f>HYPERLINK("https://sao.dolgi.msk.ru/account/1404203562/", 1404203562)</f>
        <v>1404203562</v>
      </c>
      <c r="F11976">
        <v>1913.62</v>
      </c>
    </row>
    <row r="11977" spans="1:6" hidden="1" x14ac:dyDescent="0.25">
      <c r="A11977" t="s">
        <v>707</v>
      </c>
      <c r="B11977" t="s">
        <v>92</v>
      </c>
      <c r="E11977" s="3">
        <f>HYPERLINK("https://sao.dolgi.msk.ru/account/1404204055/", 1404204055)</f>
        <v>1404204055</v>
      </c>
      <c r="F11977">
        <v>-2389.61</v>
      </c>
    </row>
    <row r="11978" spans="1:6" hidden="1" x14ac:dyDescent="0.25">
      <c r="A11978" t="s">
        <v>707</v>
      </c>
      <c r="B11978" t="s">
        <v>93</v>
      </c>
      <c r="E11978" s="3">
        <f>HYPERLINK("https://sao.dolgi.msk.ru/account/1404204063/", 1404204063)</f>
        <v>1404204063</v>
      </c>
      <c r="F11978">
        <v>0</v>
      </c>
    </row>
    <row r="11979" spans="1:6" hidden="1" x14ac:dyDescent="0.25">
      <c r="A11979" t="s">
        <v>707</v>
      </c>
      <c r="B11979" t="s">
        <v>94</v>
      </c>
      <c r="E11979" s="3">
        <f>HYPERLINK("https://sao.dolgi.msk.ru/account/1404203589/", 1404203589)</f>
        <v>1404203589</v>
      </c>
      <c r="F11979">
        <v>-2911.91</v>
      </c>
    </row>
    <row r="11980" spans="1:6" x14ac:dyDescent="0.25">
      <c r="A11980" t="s">
        <v>707</v>
      </c>
      <c r="B11980" t="s">
        <v>95</v>
      </c>
      <c r="C11980" s="5" t="str">
        <f t="shared" ref="C11980:C11981" si="495">" кв. "&amp;B11980</f>
        <v xml:space="preserve"> кв. 91</v>
      </c>
      <c r="D11980" s="5" t="str">
        <f>CONCATENATE(A11980,C11980)</f>
        <v>Смольная ул., дом 67 к.2 кв. 91</v>
      </c>
      <c r="E11980" s="3">
        <f>HYPERLINK("https://sao.dolgi.msk.ru/account/1404203765/", 1404203765)</f>
        <v>1404203765</v>
      </c>
      <c r="F11980">
        <v>1904.13</v>
      </c>
    </row>
    <row r="11981" spans="1:6" x14ac:dyDescent="0.25">
      <c r="A11981" t="s">
        <v>707</v>
      </c>
      <c r="B11981" t="s">
        <v>96</v>
      </c>
      <c r="C11981" s="5" t="str">
        <f t="shared" si="495"/>
        <v xml:space="preserve"> кв. 92</v>
      </c>
      <c r="D11981" s="5" t="str">
        <f>CONCATENATE(A11981,C11981)</f>
        <v>Смольная ул., дом 67 к.2 кв. 92</v>
      </c>
      <c r="E11981" s="3">
        <f>HYPERLINK("https://sao.dolgi.msk.ru/account/1404203925/", 1404203925)</f>
        <v>1404203925</v>
      </c>
      <c r="F11981">
        <v>990.02</v>
      </c>
    </row>
    <row r="11982" spans="1:6" hidden="1" x14ac:dyDescent="0.25">
      <c r="A11982" t="s">
        <v>707</v>
      </c>
      <c r="B11982" t="s">
        <v>97</v>
      </c>
      <c r="E11982" s="3">
        <f>HYPERLINK("https://sao.dolgi.msk.ru/account/1404202893/", 1404202893)</f>
        <v>1404202893</v>
      </c>
      <c r="F11982">
        <v>0</v>
      </c>
    </row>
    <row r="11983" spans="1:6" hidden="1" x14ac:dyDescent="0.25">
      <c r="A11983" t="s">
        <v>707</v>
      </c>
      <c r="B11983" t="s">
        <v>98</v>
      </c>
      <c r="E11983" s="3">
        <f>HYPERLINK("https://sao.dolgi.msk.ru/account/1404202711/", 1404202711)</f>
        <v>1404202711</v>
      </c>
      <c r="F11983">
        <v>-2874.93</v>
      </c>
    </row>
    <row r="11984" spans="1:6" hidden="1" x14ac:dyDescent="0.25">
      <c r="A11984" t="s">
        <v>707</v>
      </c>
      <c r="B11984" t="s">
        <v>99</v>
      </c>
      <c r="E11984" s="3">
        <f>HYPERLINK("https://sao.dolgi.msk.ru/account/1404202914/", 1404202914)</f>
        <v>1404202914</v>
      </c>
      <c r="F11984">
        <v>-1854.75</v>
      </c>
    </row>
    <row r="11985" spans="1:6" hidden="1" x14ac:dyDescent="0.25">
      <c r="A11985" t="s">
        <v>707</v>
      </c>
      <c r="B11985" t="s">
        <v>99</v>
      </c>
      <c r="E11985" s="3">
        <f>HYPERLINK("https://sao.dolgi.msk.ru/account/1404203239/", 1404203239)</f>
        <v>1404203239</v>
      </c>
      <c r="F11985">
        <v>-477.75</v>
      </c>
    </row>
    <row r="11986" spans="1:6" hidden="1" x14ac:dyDescent="0.25">
      <c r="A11986" t="s">
        <v>707</v>
      </c>
      <c r="B11986" t="s">
        <v>100</v>
      </c>
      <c r="E11986" s="3">
        <f>HYPERLINK("https://sao.dolgi.msk.ru/account/1404202922/", 1404202922)</f>
        <v>1404202922</v>
      </c>
      <c r="F11986">
        <v>-2421.9699999999998</v>
      </c>
    </row>
    <row r="11987" spans="1:6" hidden="1" x14ac:dyDescent="0.25">
      <c r="A11987" t="s">
        <v>707</v>
      </c>
      <c r="B11987" t="s">
        <v>101</v>
      </c>
      <c r="E11987" s="3">
        <f>HYPERLINK("https://sao.dolgi.msk.ru/account/1404203407/", 1404203407)</f>
        <v>1404203407</v>
      </c>
      <c r="F11987">
        <v>-1607.54</v>
      </c>
    </row>
    <row r="11988" spans="1:6" hidden="1" x14ac:dyDescent="0.25">
      <c r="A11988" t="s">
        <v>707</v>
      </c>
      <c r="B11988" t="s">
        <v>102</v>
      </c>
      <c r="E11988" s="3">
        <f>HYPERLINK("https://sao.dolgi.msk.ru/account/1404203802/", 1404203802)</f>
        <v>1404203802</v>
      </c>
      <c r="F11988">
        <v>-2893.42</v>
      </c>
    </row>
    <row r="11989" spans="1:6" hidden="1" x14ac:dyDescent="0.25">
      <c r="A11989" t="s">
        <v>707</v>
      </c>
      <c r="B11989" t="s">
        <v>103</v>
      </c>
      <c r="E11989" s="3">
        <f>HYPERLINK("https://sao.dolgi.msk.ru/account/1404203933/", 1404203933)</f>
        <v>1404203933</v>
      </c>
      <c r="F11989">
        <v>0</v>
      </c>
    </row>
    <row r="11990" spans="1:6" hidden="1" x14ac:dyDescent="0.25">
      <c r="A11990" t="s">
        <v>707</v>
      </c>
      <c r="B11990" t="s">
        <v>104</v>
      </c>
      <c r="E11990" s="3">
        <f>HYPERLINK("https://sao.dolgi.msk.ru/account/1404203773/", 1404203773)</f>
        <v>1404203773</v>
      </c>
      <c r="F11990">
        <v>-2426.6</v>
      </c>
    </row>
    <row r="11991" spans="1:6" x14ac:dyDescent="0.25">
      <c r="A11991" t="s">
        <v>707</v>
      </c>
      <c r="B11991" t="s">
        <v>105</v>
      </c>
      <c r="C11991" s="5" t="str">
        <f>" кв. "&amp;B11991</f>
        <v xml:space="preserve"> кв. 101</v>
      </c>
      <c r="D11991" s="5" t="str">
        <f>CONCATENATE(A11991,C11991)</f>
        <v>Смольная ул., дом 67 к.2 кв. 101</v>
      </c>
      <c r="E11991" s="3">
        <f>HYPERLINK("https://sao.dolgi.msk.ru/account/1404202906/", 1404202906)</f>
        <v>1404202906</v>
      </c>
      <c r="F11991">
        <v>1132.3499999999999</v>
      </c>
    </row>
    <row r="11992" spans="1:6" hidden="1" x14ac:dyDescent="0.25">
      <c r="A11992" t="s">
        <v>707</v>
      </c>
      <c r="B11992" t="s">
        <v>106</v>
      </c>
      <c r="E11992" s="3">
        <f>HYPERLINK("https://sao.dolgi.msk.ru/account/1404203415/", 1404203415)</f>
        <v>1404203415</v>
      </c>
      <c r="F11992">
        <v>-2884.17</v>
      </c>
    </row>
    <row r="11993" spans="1:6" hidden="1" x14ac:dyDescent="0.25">
      <c r="A11993" t="s">
        <v>707</v>
      </c>
      <c r="B11993" t="s">
        <v>107</v>
      </c>
      <c r="E11993" s="3">
        <f>HYPERLINK("https://sao.dolgi.msk.ru/account/1404203829/", 1404203829)</f>
        <v>1404203829</v>
      </c>
      <c r="F11993">
        <v>0</v>
      </c>
    </row>
    <row r="11994" spans="1:6" hidden="1" x14ac:dyDescent="0.25">
      <c r="A11994" t="s">
        <v>707</v>
      </c>
      <c r="B11994" t="s">
        <v>108</v>
      </c>
      <c r="E11994" s="3">
        <f>HYPERLINK("https://sao.dolgi.msk.ru/account/1404202738/", 1404202738)</f>
        <v>1404202738</v>
      </c>
      <c r="F11994">
        <v>0</v>
      </c>
    </row>
    <row r="11995" spans="1:6" hidden="1" x14ac:dyDescent="0.25">
      <c r="A11995" t="s">
        <v>707</v>
      </c>
      <c r="B11995" t="s">
        <v>109</v>
      </c>
      <c r="E11995" s="3">
        <f>HYPERLINK("https://sao.dolgi.msk.ru/account/1404203255/", 1404203255)</f>
        <v>1404203255</v>
      </c>
      <c r="F11995">
        <v>-2421.9699999999998</v>
      </c>
    </row>
    <row r="11996" spans="1:6" hidden="1" x14ac:dyDescent="0.25">
      <c r="A11996" t="s">
        <v>707</v>
      </c>
      <c r="B11996" t="s">
        <v>110</v>
      </c>
      <c r="E11996" s="3">
        <f>HYPERLINK("https://sao.dolgi.msk.ru/account/1404202746/", 1404202746)</f>
        <v>1404202746</v>
      </c>
      <c r="F11996">
        <v>-2874.93</v>
      </c>
    </row>
    <row r="11997" spans="1:6" hidden="1" x14ac:dyDescent="0.25">
      <c r="A11997" t="s">
        <v>707</v>
      </c>
      <c r="B11997" t="s">
        <v>111</v>
      </c>
      <c r="E11997" s="3">
        <f>HYPERLINK("https://sao.dolgi.msk.ru/account/1404203108/", 1404203108)</f>
        <v>1404203108</v>
      </c>
      <c r="F11997">
        <v>-1836.98</v>
      </c>
    </row>
    <row r="11998" spans="1:6" hidden="1" x14ac:dyDescent="0.25">
      <c r="A11998" t="s">
        <v>707</v>
      </c>
      <c r="B11998" t="s">
        <v>112</v>
      </c>
      <c r="E11998" s="3">
        <f>HYPERLINK("https://sao.dolgi.msk.ru/account/1404203618/", 1404203618)</f>
        <v>1404203618</v>
      </c>
      <c r="F11998">
        <v>-2417.35</v>
      </c>
    </row>
    <row r="11999" spans="1:6" hidden="1" x14ac:dyDescent="0.25">
      <c r="A11999" t="s">
        <v>707</v>
      </c>
      <c r="B11999" t="s">
        <v>113</v>
      </c>
      <c r="E11999" s="3">
        <f>HYPERLINK("https://sao.dolgi.msk.ru/account/1404202949/", 1404202949)</f>
        <v>1404202949</v>
      </c>
      <c r="F11999">
        <v>-2408.1</v>
      </c>
    </row>
    <row r="12000" spans="1:6" hidden="1" x14ac:dyDescent="0.25">
      <c r="A12000" t="s">
        <v>707</v>
      </c>
      <c r="B12000" t="s">
        <v>114</v>
      </c>
      <c r="E12000" s="3">
        <f>HYPERLINK("https://sao.dolgi.msk.ru/account/1404203423/", 1404203423)</f>
        <v>1404203423</v>
      </c>
      <c r="F12000">
        <v>-2647.99</v>
      </c>
    </row>
    <row r="12001" spans="1:6" hidden="1" x14ac:dyDescent="0.25">
      <c r="A12001" t="s">
        <v>707</v>
      </c>
      <c r="B12001" t="s">
        <v>115</v>
      </c>
      <c r="E12001" s="3">
        <f>HYPERLINK("https://sao.dolgi.msk.ru/account/1404203941/", 1404203941)</f>
        <v>1404203941</v>
      </c>
      <c r="F12001">
        <v>-2810.22</v>
      </c>
    </row>
    <row r="12002" spans="1:6" x14ac:dyDescent="0.25">
      <c r="A12002" t="s">
        <v>707</v>
      </c>
      <c r="B12002" t="s">
        <v>116</v>
      </c>
      <c r="C12002" s="5" t="str">
        <f t="shared" ref="C12002:C12003" si="496">" кв. "&amp;B12002</f>
        <v xml:space="preserve"> кв. 112</v>
      </c>
      <c r="D12002" s="5" t="str">
        <f>CONCATENATE(A12002,C12002)</f>
        <v>Смольная ул., дом 67 к.2 кв. 112</v>
      </c>
      <c r="E12002" s="3">
        <f>HYPERLINK("https://sao.dolgi.msk.ru/account/1404203626/", 1404203626)</f>
        <v>1404203626</v>
      </c>
      <c r="F12002">
        <v>1657.41</v>
      </c>
    </row>
    <row r="12003" spans="1:6" x14ac:dyDescent="0.25">
      <c r="A12003" t="s">
        <v>707</v>
      </c>
      <c r="B12003" t="s">
        <v>117</v>
      </c>
      <c r="C12003" s="5" t="str">
        <f t="shared" si="496"/>
        <v xml:space="preserve"> кв. 113</v>
      </c>
      <c r="D12003" s="5" t="str">
        <f>CONCATENATE(A12003,C12003)</f>
        <v>Смольная ул., дом 67 к.2 кв. 113</v>
      </c>
      <c r="E12003" s="3">
        <f>HYPERLINK("https://sao.dolgi.msk.ru/account/1404203263/", 1404203263)</f>
        <v>1404203263</v>
      </c>
      <c r="F12003">
        <v>1651.09</v>
      </c>
    </row>
    <row r="12004" spans="1:6" hidden="1" x14ac:dyDescent="0.25">
      <c r="A12004" t="s">
        <v>707</v>
      </c>
      <c r="B12004" t="s">
        <v>118</v>
      </c>
      <c r="E12004" s="3">
        <f>HYPERLINK("https://sao.dolgi.msk.ru/account/1404203634/", 1404203634)</f>
        <v>1404203634</v>
      </c>
      <c r="F12004">
        <v>-2893.42</v>
      </c>
    </row>
    <row r="12005" spans="1:6" hidden="1" x14ac:dyDescent="0.25">
      <c r="A12005" t="s">
        <v>707</v>
      </c>
      <c r="B12005" t="s">
        <v>119</v>
      </c>
      <c r="E12005" s="3">
        <f>HYPERLINK("https://sao.dolgi.msk.ru/account/1404202957/", 1404202957)</f>
        <v>1404202957</v>
      </c>
      <c r="F12005">
        <v>-1393.57</v>
      </c>
    </row>
    <row r="12006" spans="1:6" hidden="1" x14ac:dyDescent="0.25">
      <c r="A12006" t="s">
        <v>707</v>
      </c>
      <c r="B12006" t="s">
        <v>120</v>
      </c>
      <c r="E12006" s="3">
        <f>HYPERLINK("https://sao.dolgi.msk.ru/account/1404202965/", 1404202965)</f>
        <v>1404202965</v>
      </c>
      <c r="F12006">
        <v>0</v>
      </c>
    </row>
    <row r="12007" spans="1:6" hidden="1" x14ac:dyDescent="0.25">
      <c r="A12007" t="s">
        <v>707</v>
      </c>
      <c r="B12007" t="s">
        <v>121</v>
      </c>
      <c r="E12007" s="3">
        <f>HYPERLINK("https://sao.dolgi.msk.ru/account/1404203642/", 1404203642)</f>
        <v>1404203642</v>
      </c>
      <c r="F12007">
        <v>-2375.7399999999998</v>
      </c>
    </row>
    <row r="12008" spans="1:6" hidden="1" x14ac:dyDescent="0.25">
      <c r="A12008" t="s">
        <v>707</v>
      </c>
      <c r="B12008" t="s">
        <v>122</v>
      </c>
      <c r="E12008" s="3">
        <f>HYPERLINK("https://sao.dolgi.msk.ru/account/1404203431/", 1404203431)</f>
        <v>1404203431</v>
      </c>
      <c r="F12008">
        <v>-2893.42</v>
      </c>
    </row>
    <row r="12009" spans="1:6" hidden="1" x14ac:dyDescent="0.25">
      <c r="A12009" t="s">
        <v>707</v>
      </c>
      <c r="B12009" t="s">
        <v>123</v>
      </c>
      <c r="E12009" s="3">
        <f>HYPERLINK("https://sao.dolgi.msk.ru/account/1404203837/", 1404203837)</f>
        <v>1404203837</v>
      </c>
      <c r="F12009">
        <v>0</v>
      </c>
    </row>
    <row r="12010" spans="1:6" hidden="1" x14ac:dyDescent="0.25">
      <c r="A12010" t="s">
        <v>707</v>
      </c>
      <c r="B12010" t="s">
        <v>124</v>
      </c>
      <c r="E12010" s="3">
        <f>HYPERLINK("https://sao.dolgi.msk.ru/account/1404203271/", 1404203271)</f>
        <v>1404203271</v>
      </c>
      <c r="F12010">
        <v>-2408.1</v>
      </c>
    </row>
    <row r="12011" spans="1:6" hidden="1" x14ac:dyDescent="0.25">
      <c r="A12011" t="s">
        <v>707</v>
      </c>
      <c r="B12011" t="s">
        <v>125</v>
      </c>
      <c r="E12011" s="3">
        <f>HYPERLINK("https://sao.dolgi.msk.ru/account/1404203845/", 1404203845)</f>
        <v>1404203845</v>
      </c>
      <c r="F12011">
        <v>0</v>
      </c>
    </row>
    <row r="12012" spans="1:6" x14ac:dyDescent="0.25">
      <c r="A12012" t="s">
        <v>707</v>
      </c>
      <c r="B12012" t="s">
        <v>126</v>
      </c>
      <c r="C12012" s="5" t="str">
        <f>" кв. "&amp;B12012</f>
        <v xml:space="preserve"> кв. 122</v>
      </c>
      <c r="D12012" s="5" t="str">
        <f>CONCATENATE(A12012,C12012)</f>
        <v>Смольная ул., дом 67 к.2 кв. 122</v>
      </c>
      <c r="E12012" s="3">
        <f>HYPERLINK("https://sao.dolgi.msk.ru/account/1404203669/", 1404203669)</f>
        <v>1404203669</v>
      </c>
      <c r="F12012">
        <v>986.85</v>
      </c>
    </row>
    <row r="12013" spans="1:6" hidden="1" x14ac:dyDescent="0.25">
      <c r="A12013" t="s">
        <v>707</v>
      </c>
      <c r="B12013" t="s">
        <v>127</v>
      </c>
      <c r="E12013" s="3">
        <f>HYPERLINK("https://sao.dolgi.msk.ru/account/1404202973/", 1404202973)</f>
        <v>1404202973</v>
      </c>
      <c r="F12013">
        <v>-2362.7800000000002</v>
      </c>
    </row>
    <row r="12014" spans="1:6" hidden="1" x14ac:dyDescent="0.25">
      <c r="A12014" t="s">
        <v>707</v>
      </c>
      <c r="B12014" t="s">
        <v>128</v>
      </c>
      <c r="E12014" s="3">
        <f>HYPERLINK("https://sao.dolgi.msk.ru/account/1404202981/", 1404202981)</f>
        <v>1404202981</v>
      </c>
      <c r="F12014">
        <v>-2449.69</v>
      </c>
    </row>
    <row r="12015" spans="1:6" hidden="1" x14ac:dyDescent="0.25">
      <c r="A12015" t="s">
        <v>707</v>
      </c>
      <c r="B12015" t="s">
        <v>129</v>
      </c>
      <c r="E12015" s="3">
        <f>HYPERLINK("https://sao.dolgi.msk.ru/account/1404203677/", 1404203677)</f>
        <v>1404203677</v>
      </c>
      <c r="F12015">
        <v>-2421.9699999999998</v>
      </c>
    </row>
    <row r="12016" spans="1:6" hidden="1" x14ac:dyDescent="0.25">
      <c r="A12016" t="s">
        <v>707</v>
      </c>
      <c r="B12016" t="s">
        <v>130</v>
      </c>
      <c r="E12016" s="3">
        <f>HYPERLINK("https://sao.dolgi.msk.ru/account/1404203319/", 1404203319)</f>
        <v>1404203319</v>
      </c>
      <c r="F12016">
        <v>-1910.94</v>
      </c>
    </row>
    <row r="12017" spans="1:6" hidden="1" x14ac:dyDescent="0.25">
      <c r="A12017" t="s">
        <v>707</v>
      </c>
      <c r="B12017" t="s">
        <v>131</v>
      </c>
      <c r="E12017" s="3">
        <f>HYPERLINK("https://sao.dolgi.msk.ru/account/1404203001/", 1404203001)</f>
        <v>1404203001</v>
      </c>
      <c r="F12017">
        <v>-2140.83</v>
      </c>
    </row>
    <row r="12018" spans="1:6" hidden="1" x14ac:dyDescent="0.25">
      <c r="A12018" t="s">
        <v>707</v>
      </c>
      <c r="B12018" t="s">
        <v>132</v>
      </c>
      <c r="E12018" s="3">
        <f>HYPERLINK("https://sao.dolgi.msk.ru/account/1404203458/", 1404203458)</f>
        <v>1404203458</v>
      </c>
      <c r="F12018">
        <v>-1339.48</v>
      </c>
    </row>
    <row r="12019" spans="1:6" hidden="1" x14ac:dyDescent="0.25">
      <c r="A12019" t="s">
        <v>707</v>
      </c>
      <c r="B12019" t="s">
        <v>133</v>
      </c>
      <c r="E12019" s="3">
        <f>HYPERLINK("https://sao.dolgi.msk.ru/account/1404203853/", 1404203853)</f>
        <v>1404203853</v>
      </c>
      <c r="F12019">
        <v>-1642.99</v>
      </c>
    </row>
    <row r="12020" spans="1:6" hidden="1" x14ac:dyDescent="0.25">
      <c r="A12020" t="s">
        <v>707</v>
      </c>
      <c r="B12020" t="s">
        <v>134</v>
      </c>
      <c r="E12020" s="3">
        <f>HYPERLINK("https://sao.dolgi.msk.ru/account/1404203327/", 1404203327)</f>
        <v>1404203327</v>
      </c>
      <c r="F12020">
        <v>-1263.53</v>
      </c>
    </row>
    <row r="12021" spans="1:6" hidden="1" x14ac:dyDescent="0.25">
      <c r="A12021" t="s">
        <v>707</v>
      </c>
      <c r="B12021" t="s">
        <v>135</v>
      </c>
      <c r="E12021" s="3">
        <f>HYPERLINK("https://sao.dolgi.msk.ru/account/1404203028/", 1404203028)</f>
        <v>1404203028</v>
      </c>
      <c r="F12021">
        <v>-2398.86</v>
      </c>
    </row>
    <row r="12022" spans="1:6" hidden="1" x14ac:dyDescent="0.25">
      <c r="A12022" t="s">
        <v>707</v>
      </c>
      <c r="B12022" t="s">
        <v>136</v>
      </c>
      <c r="E12022" s="3">
        <f>HYPERLINK("https://sao.dolgi.msk.ru/account/1404203861/", 1404203861)</f>
        <v>1404203861</v>
      </c>
      <c r="F12022">
        <v>-1795.68</v>
      </c>
    </row>
    <row r="12023" spans="1:6" x14ac:dyDescent="0.25">
      <c r="A12023" t="s">
        <v>707</v>
      </c>
      <c r="B12023" t="s">
        <v>137</v>
      </c>
      <c r="C12023" s="5" t="str">
        <f t="shared" ref="C12023:C12024" si="497">" кв. "&amp;B12023</f>
        <v xml:space="preserve"> кв. 133</v>
      </c>
      <c r="D12023" s="5" t="str">
        <f>CONCATENATE(A12023,C12023)</f>
        <v>Смольная ул., дом 67 к.2 кв. 133</v>
      </c>
      <c r="E12023" s="3">
        <f>HYPERLINK("https://sao.dolgi.msk.ru/account/1404203888/", 1404203888)</f>
        <v>1404203888</v>
      </c>
      <c r="F12023">
        <v>2027.48</v>
      </c>
    </row>
    <row r="12024" spans="1:6" x14ac:dyDescent="0.25">
      <c r="A12024" t="s">
        <v>707</v>
      </c>
      <c r="B12024" t="s">
        <v>138</v>
      </c>
      <c r="C12024" s="5" t="str">
        <f t="shared" si="497"/>
        <v xml:space="preserve"> кв. 134</v>
      </c>
      <c r="D12024" s="5" t="str">
        <f>CONCATENATE(A12024,C12024)</f>
        <v>Смольная ул., дом 67 к.2 кв. 134</v>
      </c>
      <c r="E12024" s="3">
        <f>HYPERLINK("https://sao.dolgi.msk.ru/account/1404202762/", 1404202762)</f>
        <v>1404202762</v>
      </c>
      <c r="F12024">
        <v>1954.73</v>
      </c>
    </row>
    <row r="12025" spans="1:6" hidden="1" x14ac:dyDescent="0.25">
      <c r="A12025" t="s">
        <v>707</v>
      </c>
      <c r="B12025" t="s">
        <v>139</v>
      </c>
      <c r="E12025" s="3">
        <f>HYPERLINK("https://sao.dolgi.msk.ru/account/1404202789/", 1404202789)</f>
        <v>1404202789</v>
      </c>
      <c r="F12025">
        <v>-2398.86</v>
      </c>
    </row>
    <row r="12026" spans="1:6" hidden="1" x14ac:dyDescent="0.25">
      <c r="A12026" t="s">
        <v>707</v>
      </c>
      <c r="B12026" t="s">
        <v>140</v>
      </c>
      <c r="E12026" s="3">
        <f>HYPERLINK("https://sao.dolgi.msk.ru/account/1404203685/", 1404203685)</f>
        <v>1404203685</v>
      </c>
      <c r="F12026">
        <v>-1356.01</v>
      </c>
    </row>
    <row r="12027" spans="1:6" x14ac:dyDescent="0.25">
      <c r="A12027" t="s">
        <v>707</v>
      </c>
      <c r="B12027" t="s">
        <v>141</v>
      </c>
      <c r="C12027" s="5" t="str">
        <f t="shared" ref="C12027:C12028" si="498">" кв. "&amp;B12027</f>
        <v xml:space="preserve"> кв. 137</v>
      </c>
      <c r="D12027" s="5" t="str">
        <f>CONCATENATE(A12027,C12027)</f>
        <v>Смольная ул., дом 67 к.2 кв. 137</v>
      </c>
      <c r="E12027" s="3">
        <f>HYPERLINK("https://sao.dolgi.msk.ru/account/1404203116/", 1404203116)</f>
        <v>1404203116</v>
      </c>
      <c r="F12027">
        <v>2027.48</v>
      </c>
    </row>
    <row r="12028" spans="1:6" x14ac:dyDescent="0.25">
      <c r="A12028" t="s">
        <v>707</v>
      </c>
      <c r="B12028" t="s">
        <v>142</v>
      </c>
      <c r="C12028" s="5" t="str">
        <f t="shared" si="498"/>
        <v xml:space="preserve"> кв. 138</v>
      </c>
      <c r="D12028" s="5" t="str">
        <f>CONCATENATE(A12028,C12028)</f>
        <v>Смольная ул., дом 67 к.2 кв. 138</v>
      </c>
      <c r="E12028" s="3">
        <f>HYPERLINK("https://sao.dolgi.msk.ru/account/1404203036/", 1404203036)</f>
        <v>1404203036</v>
      </c>
      <c r="F12028">
        <v>1951.56</v>
      </c>
    </row>
    <row r="12029" spans="1:6" hidden="1" x14ac:dyDescent="0.25">
      <c r="A12029" t="s">
        <v>707</v>
      </c>
      <c r="B12029" t="s">
        <v>143</v>
      </c>
      <c r="E12029" s="3">
        <f>HYPERLINK("https://sao.dolgi.msk.ru/account/1404203124/", 1404203124)</f>
        <v>1404203124</v>
      </c>
      <c r="F12029">
        <v>-2389.61</v>
      </c>
    </row>
    <row r="12030" spans="1:6" hidden="1" x14ac:dyDescent="0.25">
      <c r="A12030" t="s">
        <v>707</v>
      </c>
      <c r="B12030" t="s">
        <v>144</v>
      </c>
      <c r="E12030" s="3">
        <f>HYPERLINK("https://sao.dolgi.msk.ru/account/1404203968/", 1404203968)</f>
        <v>1404203968</v>
      </c>
      <c r="F12030">
        <v>-1349.49</v>
      </c>
    </row>
    <row r="12031" spans="1:6" hidden="1" x14ac:dyDescent="0.25">
      <c r="A12031" t="s">
        <v>707</v>
      </c>
      <c r="B12031" t="s">
        <v>145</v>
      </c>
      <c r="E12031" s="3">
        <f>HYPERLINK("https://sao.dolgi.msk.ru/account/1404203466/", 1404203466)</f>
        <v>1404203466</v>
      </c>
      <c r="F12031">
        <v>-2981.24</v>
      </c>
    </row>
    <row r="12032" spans="1:6" hidden="1" x14ac:dyDescent="0.25">
      <c r="A12032" t="s">
        <v>707</v>
      </c>
      <c r="B12032" t="s">
        <v>146</v>
      </c>
      <c r="E12032" s="3">
        <f>HYPERLINK("https://sao.dolgi.msk.ru/account/1404203132/", 1404203132)</f>
        <v>1404203132</v>
      </c>
      <c r="F12032">
        <v>-2847.19</v>
      </c>
    </row>
    <row r="12033" spans="1:6" hidden="1" x14ac:dyDescent="0.25">
      <c r="A12033" t="s">
        <v>707</v>
      </c>
      <c r="B12033" t="s">
        <v>147</v>
      </c>
      <c r="E12033" s="3">
        <f>HYPERLINK("https://sao.dolgi.msk.ru/account/1404203159/", 1404203159)</f>
        <v>1404203159</v>
      </c>
      <c r="F12033">
        <v>0</v>
      </c>
    </row>
    <row r="12034" spans="1:6" x14ac:dyDescent="0.25">
      <c r="A12034" t="s">
        <v>707</v>
      </c>
      <c r="B12034" t="s">
        <v>148</v>
      </c>
      <c r="C12034" s="5" t="str">
        <f t="shared" ref="C12034:C12035" si="499">" кв. "&amp;B12034</f>
        <v xml:space="preserve"> кв. 144</v>
      </c>
      <c r="D12034" s="5" t="str">
        <f>CONCATENATE(A12034,C12034)</f>
        <v>Смольная ул., дом 67 к.2 кв. 144</v>
      </c>
      <c r="E12034" s="3">
        <f>HYPERLINK("https://sao.dolgi.msk.ru/account/1404203335/", 1404203335)</f>
        <v>1404203335</v>
      </c>
      <c r="F12034">
        <v>1660.58</v>
      </c>
    </row>
    <row r="12035" spans="1:6" x14ac:dyDescent="0.25">
      <c r="A12035" t="s">
        <v>707</v>
      </c>
      <c r="B12035" t="s">
        <v>149</v>
      </c>
      <c r="C12035" s="5" t="str">
        <f t="shared" si="499"/>
        <v xml:space="preserve"> кв. 145</v>
      </c>
      <c r="D12035" s="5" t="str">
        <f>CONCATENATE(A12035,C12035)</f>
        <v>Смольная ул., дом 67 к.2 кв. 145</v>
      </c>
      <c r="E12035" s="3">
        <f>HYPERLINK("https://sao.dolgi.msk.ru/account/1404203693/", 1404203693)</f>
        <v>1404203693</v>
      </c>
      <c r="F12035">
        <v>1013.74</v>
      </c>
    </row>
    <row r="12036" spans="1:6" hidden="1" x14ac:dyDescent="0.25">
      <c r="A12036" t="s">
        <v>707</v>
      </c>
      <c r="B12036" t="s">
        <v>150</v>
      </c>
      <c r="E12036" s="3">
        <f>HYPERLINK("https://sao.dolgi.msk.ru/account/1404202797/", 1404202797)</f>
        <v>1404202797</v>
      </c>
      <c r="F12036">
        <v>-2847.19</v>
      </c>
    </row>
    <row r="12037" spans="1:6" x14ac:dyDescent="0.25">
      <c r="A12037" t="s">
        <v>707</v>
      </c>
      <c r="B12037" t="s">
        <v>151</v>
      </c>
      <c r="C12037" s="5" t="str">
        <f>" кв. "&amp;B12037</f>
        <v xml:space="preserve"> кв. 147</v>
      </c>
      <c r="D12037" s="5" t="str">
        <f>CONCATENATE(A12037,C12037)</f>
        <v>Смольная ул., дом 67 к.2 кв. 147</v>
      </c>
      <c r="E12037" s="3">
        <f>HYPERLINK("https://sao.dolgi.msk.ru/account/1404203706/", 1404203706)</f>
        <v>1404203706</v>
      </c>
      <c r="F12037">
        <v>1647.92</v>
      </c>
    </row>
    <row r="12038" spans="1:6" hidden="1" x14ac:dyDescent="0.25">
      <c r="A12038" t="s">
        <v>707</v>
      </c>
      <c r="B12038" t="s">
        <v>152</v>
      </c>
      <c r="E12038" s="3">
        <f>HYPERLINK("https://sao.dolgi.msk.ru/account/1404202818/", 1404202818)</f>
        <v>1404202818</v>
      </c>
      <c r="F12038">
        <v>0</v>
      </c>
    </row>
    <row r="12039" spans="1:6" x14ac:dyDescent="0.25">
      <c r="A12039" t="s">
        <v>707</v>
      </c>
      <c r="B12039" t="s">
        <v>153</v>
      </c>
      <c r="C12039" s="5" t="str">
        <f>" кв. "&amp;B12039</f>
        <v xml:space="preserve"> кв. 149</v>
      </c>
      <c r="D12039" s="5" t="str">
        <f>CONCATENATE(A12039,C12039)</f>
        <v>Смольная ул., дом 67 к.2 кв. 149</v>
      </c>
      <c r="E12039" s="3">
        <f>HYPERLINK("https://sao.dolgi.msk.ru/account/1404203167/", 1404203167)</f>
        <v>1404203167</v>
      </c>
      <c r="F12039">
        <v>2027.48</v>
      </c>
    </row>
    <row r="12040" spans="1:6" hidden="1" x14ac:dyDescent="0.25">
      <c r="A12040" t="s">
        <v>707</v>
      </c>
      <c r="B12040" t="s">
        <v>154</v>
      </c>
      <c r="E12040" s="3">
        <f>HYPERLINK("https://sao.dolgi.msk.ru/account/1404202674/", 1404202674)</f>
        <v>1404202674</v>
      </c>
      <c r="F12040">
        <v>0</v>
      </c>
    </row>
    <row r="12041" spans="1:6" hidden="1" x14ac:dyDescent="0.25">
      <c r="A12041" t="s">
        <v>707</v>
      </c>
      <c r="B12041" t="s">
        <v>155</v>
      </c>
      <c r="E12041" s="3">
        <f>HYPERLINK("https://sao.dolgi.msk.ru/account/1404203394/", 1404203394)</f>
        <v>1404203394</v>
      </c>
      <c r="F12041">
        <v>-2398.86</v>
      </c>
    </row>
    <row r="12042" spans="1:6" hidden="1" x14ac:dyDescent="0.25">
      <c r="A12042" t="s">
        <v>707</v>
      </c>
      <c r="B12042" t="s">
        <v>156</v>
      </c>
      <c r="E12042" s="3">
        <f>HYPERLINK("https://sao.dolgi.msk.ru/account/1404203597/", 1404203597)</f>
        <v>1404203597</v>
      </c>
      <c r="F12042">
        <v>-1631.59</v>
      </c>
    </row>
    <row r="12043" spans="1:6" hidden="1" x14ac:dyDescent="0.25">
      <c r="A12043" t="s">
        <v>707</v>
      </c>
      <c r="B12043" t="s">
        <v>157</v>
      </c>
      <c r="E12043" s="3">
        <f>HYPERLINK("https://sao.dolgi.msk.ru/account/1404202682/", 1404202682)</f>
        <v>1404202682</v>
      </c>
      <c r="F12043">
        <v>0</v>
      </c>
    </row>
    <row r="12044" spans="1:6" hidden="1" x14ac:dyDescent="0.25">
      <c r="A12044" t="s">
        <v>707</v>
      </c>
      <c r="B12044" t="s">
        <v>158</v>
      </c>
      <c r="E12044" s="3">
        <f>HYPERLINK("https://sao.dolgi.msk.ru/account/1404202703/", 1404202703)</f>
        <v>1404202703</v>
      </c>
      <c r="F12044">
        <v>-2856.43</v>
      </c>
    </row>
    <row r="12045" spans="1:6" x14ac:dyDescent="0.25">
      <c r="A12045" t="s">
        <v>707</v>
      </c>
      <c r="B12045" t="s">
        <v>159</v>
      </c>
      <c r="C12045" s="5" t="str">
        <f t="shared" ref="C12045:C12046" si="500">" кв. "&amp;B12045</f>
        <v xml:space="preserve"> кв. 155</v>
      </c>
      <c r="D12045" s="5" t="str">
        <f>CONCATENATE(A12045,C12045)</f>
        <v>Смольная ул., дом 67 к.2 кв. 155</v>
      </c>
      <c r="E12045" s="3">
        <f>HYPERLINK("https://sao.dolgi.msk.ru/account/1404203095/", 1404203095)</f>
        <v>1404203095</v>
      </c>
      <c r="F12045">
        <v>274.12</v>
      </c>
    </row>
    <row r="12046" spans="1:6" x14ac:dyDescent="0.25">
      <c r="A12046" t="s">
        <v>707</v>
      </c>
      <c r="B12046" t="s">
        <v>159</v>
      </c>
      <c r="C12046" s="5" t="str">
        <f t="shared" si="500"/>
        <v xml:space="preserve"> кв. 155</v>
      </c>
      <c r="D12046" s="5" t="str">
        <f>CONCATENATE(A12046,C12046)</f>
        <v>Смольная ул., дом 67 к.2 кв. 155</v>
      </c>
      <c r="E12046" s="3">
        <f>HYPERLINK("https://sao.dolgi.msk.ru/account/1404203247/", 1404203247)</f>
        <v>1404203247</v>
      </c>
      <c r="F12046">
        <v>548.26</v>
      </c>
    </row>
    <row r="12047" spans="1:6" hidden="1" x14ac:dyDescent="0.25">
      <c r="A12047" t="s">
        <v>707</v>
      </c>
      <c r="B12047" t="s">
        <v>159</v>
      </c>
      <c r="E12047" s="3">
        <f>HYPERLINK("https://sao.dolgi.msk.ru/account/1404203781/", 1404203781)</f>
        <v>1404203781</v>
      </c>
      <c r="F12047">
        <v>-801.15</v>
      </c>
    </row>
    <row r="12048" spans="1:6" x14ac:dyDescent="0.25">
      <c r="A12048" t="s">
        <v>707</v>
      </c>
      <c r="B12048" t="s">
        <v>160</v>
      </c>
      <c r="C12048" s="5" t="str">
        <f>" кв. "&amp;B12048</f>
        <v xml:space="preserve"> кв. 156</v>
      </c>
      <c r="D12048" s="5" t="str">
        <f>CONCATENATE(A12048,C12048)</f>
        <v>Смольная ул., дом 67 к.2 кв. 156</v>
      </c>
      <c r="E12048" s="3">
        <f>HYPERLINK("https://sao.dolgi.msk.ru/account/1404203343/", 1404203343)</f>
        <v>1404203343</v>
      </c>
      <c r="F12048">
        <v>1644.76</v>
      </c>
    </row>
    <row r="12049" spans="1:6" hidden="1" x14ac:dyDescent="0.25">
      <c r="A12049" t="s">
        <v>707</v>
      </c>
      <c r="B12049" t="s">
        <v>161</v>
      </c>
      <c r="E12049" s="3">
        <f>HYPERLINK("https://sao.dolgi.msk.ru/account/1404203351/", 1404203351)</f>
        <v>1404203351</v>
      </c>
      <c r="F12049">
        <v>-1877.24</v>
      </c>
    </row>
    <row r="12050" spans="1:6" hidden="1" x14ac:dyDescent="0.25">
      <c r="A12050" t="s">
        <v>707</v>
      </c>
      <c r="B12050" t="s">
        <v>162</v>
      </c>
      <c r="E12050" s="3">
        <f>HYPERLINK("https://sao.dolgi.msk.ru/account/1404203714/", 1404203714)</f>
        <v>1404203714</v>
      </c>
      <c r="F12050">
        <v>-2837.94</v>
      </c>
    </row>
    <row r="12051" spans="1:6" hidden="1" x14ac:dyDescent="0.25">
      <c r="A12051" t="s">
        <v>707</v>
      </c>
      <c r="B12051" t="s">
        <v>163</v>
      </c>
      <c r="E12051" s="3">
        <f>HYPERLINK("https://sao.dolgi.msk.ru/account/1404203896/", 1404203896)</f>
        <v>1404203896</v>
      </c>
      <c r="F12051">
        <v>0</v>
      </c>
    </row>
    <row r="12052" spans="1:6" hidden="1" x14ac:dyDescent="0.25">
      <c r="A12052" t="s">
        <v>707</v>
      </c>
      <c r="B12052" t="s">
        <v>164</v>
      </c>
      <c r="E12052" s="3">
        <f>HYPERLINK("https://sao.dolgi.msk.ru/account/1404203474/", 1404203474)</f>
        <v>1404203474</v>
      </c>
      <c r="F12052">
        <v>0</v>
      </c>
    </row>
    <row r="12053" spans="1:6" hidden="1" x14ac:dyDescent="0.25">
      <c r="A12053" t="s">
        <v>707</v>
      </c>
      <c r="B12053" t="s">
        <v>165</v>
      </c>
      <c r="E12053" s="3">
        <f>HYPERLINK("https://sao.dolgi.msk.ru/account/1404203175/", 1404203175)</f>
        <v>1404203175</v>
      </c>
      <c r="F12053">
        <v>-2514.58</v>
      </c>
    </row>
    <row r="12054" spans="1:6" hidden="1" x14ac:dyDescent="0.25">
      <c r="A12054" t="s">
        <v>707</v>
      </c>
      <c r="B12054" t="s">
        <v>166</v>
      </c>
      <c r="E12054" s="3">
        <f>HYPERLINK("https://sao.dolgi.msk.ru/account/1404202754/", 1404202754)</f>
        <v>1404202754</v>
      </c>
      <c r="F12054">
        <v>0</v>
      </c>
    </row>
    <row r="12055" spans="1:6" hidden="1" x14ac:dyDescent="0.25">
      <c r="A12055" t="s">
        <v>707</v>
      </c>
      <c r="B12055" t="s">
        <v>167</v>
      </c>
      <c r="E12055" s="3">
        <f>HYPERLINK("https://sao.dolgi.msk.ru/account/1404203722/", 1404203722)</f>
        <v>1404203722</v>
      </c>
      <c r="F12055">
        <v>-1636.22</v>
      </c>
    </row>
    <row r="12056" spans="1:6" hidden="1" x14ac:dyDescent="0.25">
      <c r="A12056" t="s">
        <v>707</v>
      </c>
      <c r="B12056" t="s">
        <v>168</v>
      </c>
      <c r="E12056" s="3">
        <f>HYPERLINK("https://sao.dolgi.msk.ru/account/1404203976/", 1404203976)</f>
        <v>1404203976</v>
      </c>
      <c r="F12056">
        <v>-2389.61</v>
      </c>
    </row>
    <row r="12057" spans="1:6" hidden="1" x14ac:dyDescent="0.25">
      <c r="A12057" t="s">
        <v>707</v>
      </c>
      <c r="B12057" t="s">
        <v>169</v>
      </c>
      <c r="E12057" s="3">
        <f>HYPERLINK("https://sao.dolgi.msk.ru/account/1404202826/", 1404202826)</f>
        <v>1404202826</v>
      </c>
      <c r="F12057">
        <v>-1948.48</v>
      </c>
    </row>
    <row r="12058" spans="1:6" hidden="1" x14ac:dyDescent="0.25">
      <c r="A12058" t="s">
        <v>707</v>
      </c>
      <c r="B12058" t="s">
        <v>169</v>
      </c>
      <c r="E12058" s="3">
        <f>HYPERLINK("https://sao.dolgi.msk.ru/account/1404203298/", 1404203298)</f>
        <v>1404203298</v>
      </c>
      <c r="F12058">
        <v>-828.52</v>
      </c>
    </row>
    <row r="12059" spans="1:6" hidden="1" x14ac:dyDescent="0.25">
      <c r="A12059" t="s">
        <v>707</v>
      </c>
      <c r="B12059" t="s">
        <v>170</v>
      </c>
      <c r="E12059" s="3">
        <f>HYPERLINK("https://sao.dolgi.msk.ru/account/1404174634/", 1404174634)</f>
        <v>1404174634</v>
      </c>
      <c r="F12059">
        <v>-947.52</v>
      </c>
    </row>
    <row r="12060" spans="1:6" hidden="1" x14ac:dyDescent="0.25">
      <c r="A12060" t="s">
        <v>707</v>
      </c>
      <c r="B12060" t="s">
        <v>170</v>
      </c>
      <c r="E12060" s="3">
        <f>HYPERLINK("https://sao.dolgi.msk.ru/account/1404203378/", 1404203378)</f>
        <v>1404203378</v>
      </c>
      <c r="F12060">
        <v>-1895.05</v>
      </c>
    </row>
    <row r="12061" spans="1:6" hidden="1" x14ac:dyDescent="0.25">
      <c r="A12061" t="s">
        <v>707</v>
      </c>
      <c r="B12061" t="s">
        <v>171</v>
      </c>
      <c r="E12061" s="3">
        <f>HYPERLINK("https://sao.dolgi.msk.ru/account/1404203044/", 1404203044)</f>
        <v>1404203044</v>
      </c>
      <c r="F12061">
        <v>-2740.34</v>
      </c>
    </row>
    <row r="12062" spans="1:6" hidden="1" x14ac:dyDescent="0.25">
      <c r="A12062" t="s">
        <v>707</v>
      </c>
      <c r="B12062" t="s">
        <v>172</v>
      </c>
      <c r="E12062" s="3">
        <f>HYPERLINK("https://sao.dolgi.msk.ru/account/1404203183/", 1404203183)</f>
        <v>1404203183</v>
      </c>
      <c r="F12062">
        <v>-2408.1</v>
      </c>
    </row>
    <row r="12063" spans="1:6" hidden="1" x14ac:dyDescent="0.25">
      <c r="A12063" t="s">
        <v>707</v>
      </c>
      <c r="B12063" t="s">
        <v>173</v>
      </c>
      <c r="E12063" s="3">
        <f>HYPERLINK("https://sao.dolgi.msk.ru/account/1404203052/", 1404203052)</f>
        <v>1404203052</v>
      </c>
      <c r="F12063">
        <v>-3076.12</v>
      </c>
    </row>
    <row r="12064" spans="1:6" x14ac:dyDescent="0.25">
      <c r="A12064" t="s">
        <v>707</v>
      </c>
      <c r="B12064" t="s">
        <v>174</v>
      </c>
      <c r="C12064" s="5" t="str">
        <f>" кв. "&amp;B12064</f>
        <v xml:space="preserve"> кв. 170</v>
      </c>
      <c r="D12064" s="5" t="str">
        <f>CONCATENATE(A12064,C12064)</f>
        <v>Смольная ул., дом 67 к.2 кв. 170</v>
      </c>
      <c r="E12064" s="3">
        <f>HYPERLINK("https://sao.dolgi.msk.ru/account/1404202834/", 1404202834)</f>
        <v>1404202834</v>
      </c>
      <c r="F12064">
        <v>1942.08</v>
      </c>
    </row>
    <row r="12065" spans="1:6" hidden="1" x14ac:dyDescent="0.25">
      <c r="A12065" t="s">
        <v>707</v>
      </c>
      <c r="B12065" t="s">
        <v>175</v>
      </c>
      <c r="E12065" s="3">
        <f>HYPERLINK("https://sao.dolgi.msk.ru/account/1404203909/", 1404203909)</f>
        <v>1404203909</v>
      </c>
      <c r="F12065">
        <v>-2162.7399999999998</v>
      </c>
    </row>
    <row r="12066" spans="1:6" hidden="1" x14ac:dyDescent="0.25">
      <c r="A12066" t="s">
        <v>707</v>
      </c>
      <c r="B12066" t="s">
        <v>176</v>
      </c>
      <c r="E12066" s="3">
        <f>HYPERLINK("https://sao.dolgi.msk.ru/account/1404203482/", 1404203482)</f>
        <v>1404203482</v>
      </c>
      <c r="F12066">
        <v>-2016.33</v>
      </c>
    </row>
    <row r="12067" spans="1:6" hidden="1" x14ac:dyDescent="0.25">
      <c r="A12067" t="s">
        <v>707</v>
      </c>
      <c r="B12067" t="s">
        <v>177</v>
      </c>
      <c r="E12067" s="3">
        <f>HYPERLINK("https://sao.dolgi.msk.ru/account/1404202842/", 1404202842)</f>
        <v>1404202842</v>
      </c>
      <c r="F12067">
        <v>-2635.53</v>
      </c>
    </row>
    <row r="12068" spans="1:6" hidden="1" x14ac:dyDescent="0.25">
      <c r="A12068" t="s">
        <v>707</v>
      </c>
      <c r="B12068" t="s">
        <v>178</v>
      </c>
      <c r="E12068" s="3">
        <f>HYPERLINK("https://sao.dolgi.msk.ru/account/1404203984/", 1404203984)</f>
        <v>1404203984</v>
      </c>
      <c r="F12068">
        <v>-2748.36</v>
      </c>
    </row>
    <row r="12069" spans="1:6" hidden="1" x14ac:dyDescent="0.25">
      <c r="A12069" t="s">
        <v>707</v>
      </c>
      <c r="B12069" t="s">
        <v>179</v>
      </c>
      <c r="E12069" s="3">
        <f>HYPERLINK("https://sao.dolgi.msk.ru/account/1404203749/", 1404203749)</f>
        <v>1404203749</v>
      </c>
      <c r="F12069">
        <v>-1340.36</v>
      </c>
    </row>
    <row r="12070" spans="1:6" hidden="1" x14ac:dyDescent="0.25">
      <c r="A12070" t="s">
        <v>707</v>
      </c>
      <c r="B12070" t="s">
        <v>180</v>
      </c>
      <c r="E12070" s="3">
        <f>HYPERLINK("https://sao.dolgi.msk.ru/account/1404203503/", 1404203503)</f>
        <v>1404203503</v>
      </c>
      <c r="F12070">
        <v>-2426.6</v>
      </c>
    </row>
    <row r="12071" spans="1:6" hidden="1" x14ac:dyDescent="0.25">
      <c r="A12071" t="s">
        <v>707</v>
      </c>
      <c r="B12071" t="s">
        <v>181</v>
      </c>
      <c r="E12071" s="3">
        <f>HYPERLINK("https://sao.dolgi.msk.ru/account/1404203191/", 1404203191)</f>
        <v>1404203191</v>
      </c>
      <c r="F12071">
        <v>-1483.69</v>
      </c>
    </row>
    <row r="12072" spans="1:6" hidden="1" x14ac:dyDescent="0.25">
      <c r="A12072" t="s">
        <v>707</v>
      </c>
      <c r="B12072" t="s">
        <v>182</v>
      </c>
      <c r="E12072" s="3">
        <f>HYPERLINK("https://sao.dolgi.msk.ru/account/1404203079/", 1404203079)</f>
        <v>1404203079</v>
      </c>
      <c r="F12072">
        <v>-2837.94</v>
      </c>
    </row>
    <row r="12073" spans="1:6" x14ac:dyDescent="0.25">
      <c r="A12073" t="s">
        <v>707</v>
      </c>
      <c r="B12073" t="s">
        <v>183</v>
      </c>
      <c r="C12073" s="5" t="str">
        <f>" кв. "&amp;B12073</f>
        <v xml:space="preserve"> кв. 179</v>
      </c>
      <c r="D12073" s="5" t="str">
        <f>CONCATENATE(A12073,C12073)</f>
        <v>Смольная ул., дом 67 к.2 кв. 179</v>
      </c>
      <c r="E12073" s="3">
        <f>HYPERLINK("https://sao.dolgi.msk.ru/account/1404203992/", 1404203992)</f>
        <v>1404203992</v>
      </c>
      <c r="F12073">
        <v>1647.92</v>
      </c>
    </row>
    <row r="12074" spans="1:6" hidden="1" x14ac:dyDescent="0.25">
      <c r="A12074" t="s">
        <v>707</v>
      </c>
      <c r="B12074" t="s">
        <v>184</v>
      </c>
      <c r="E12074" s="3">
        <f>HYPERLINK("https://sao.dolgi.msk.ru/account/1404203511/", 1404203511)</f>
        <v>1404203511</v>
      </c>
      <c r="F12074">
        <v>-1199.44</v>
      </c>
    </row>
    <row r="12075" spans="1:6" hidden="1" x14ac:dyDescent="0.25">
      <c r="A12075" t="s">
        <v>707</v>
      </c>
      <c r="B12075" t="s">
        <v>185</v>
      </c>
      <c r="E12075" s="3">
        <f>HYPERLINK("https://sao.dolgi.msk.ru/account/1404203538/", 1404203538)</f>
        <v>1404203538</v>
      </c>
      <c r="F12075">
        <v>-2971.99</v>
      </c>
    </row>
    <row r="12076" spans="1:6" hidden="1" x14ac:dyDescent="0.25">
      <c r="A12076" t="s">
        <v>707</v>
      </c>
      <c r="B12076" t="s">
        <v>186</v>
      </c>
      <c r="E12076" s="3">
        <f>HYPERLINK("https://sao.dolgi.msk.ru/account/1404202869/", 1404202869)</f>
        <v>1404202869</v>
      </c>
      <c r="F12076">
        <v>-5119.9399999999996</v>
      </c>
    </row>
    <row r="12077" spans="1:6" hidden="1" x14ac:dyDescent="0.25">
      <c r="A12077" t="s">
        <v>708</v>
      </c>
      <c r="B12077" t="s">
        <v>187</v>
      </c>
      <c r="E12077" s="3">
        <f>HYPERLINK("https://sao.dolgi.msk.ru/account/1404222106/", 1404222106)</f>
        <v>1404222106</v>
      </c>
      <c r="F12077">
        <v>-1637.77</v>
      </c>
    </row>
    <row r="12078" spans="1:6" hidden="1" x14ac:dyDescent="0.25">
      <c r="A12078" t="s">
        <v>708</v>
      </c>
      <c r="B12078" t="s">
        <v>188</v>
      </c>
      <c r="E12078" s="3">
        <f>HYPERLINK("https://sao.dolgi.msk.ru/account/1404222026/", 1404222026)</f>
        <v>1404222026</v>
      </c>
      <c r="F12078">
        <v>-2162.9</v>
      </c>
    </row>
    <row r="12079" spans="1:6" hidden="1" x14ac:dyDescent="0.25">
      <c r="A12079" t="s">
        <v>708</v>
      </c>
      <c r="B12079" t="s">
        <v>189</v>
      </c>
      <c r="E12079" s="3">
        <f>HYPERLINK("https://sao.dolgi.msk.ru/account/1404222333/", 1404222333)</f>
        <v>1404222333</v>
      </c>
      <c r="F12079">
        <v>0</v>
      </c>
    </row>
    <row r="12080" spans="1:6" x14ac:dyDescent="0.25">
      <c r="A12080" t="s">
        <v>708</v>
      </c>
      <c r="B12080" t="s">
        <v>190</v>
      </c>
      <c r="C12080" s="5" t="str">
        <f>" кв. "&amp;B12080</f>
        <v xml:space="preserve"> кв. 186</v>
      </c>
      <c r="D12080" s="5" t="str">
        <f>CONCATENATE(A12080,C12080)</f>
        <v>Смольная ул., дом 67 к.3 кв. 186</v>
      </c>
      <c r="E12080" s="3">
        <f>HYPERLINK("https://sao.dolgi.msk.ru/account/1404221701/", 1404221701)</f>
        <v>1404221701</v>
      </c>
      <c r="F12080">
        <v>818.85</v>
      </c>
    </row>
    <row r="12081" spans="1:6" hidden="1" x14ac:dyDescent="0.25">
      <c r="A12081" t="s">
        <v>708</v>
      </c>
      <c r="B12081" t="s">
        <v>191</v>
      </c>
      <c r="E12081" s="3">
        <f>HYPERLINK("https://sao.dolgi.msk.ru/account/1404222552/", 1404222552)</f>
        <v>1404222552</v>
      </c>
      <c r="F12081">
        <v>0</v>
      </c>
    </row>
    <row r="12082" spans="1:6" hidden="1" x14ac:dyDescent="0.25">
      <c r="A12082" t="s">
        <v>708</v>
      </c>
      <c r="B12082" t="s">
        <v>192</v>
      </c>
      <c r="E12082" s="3">
        <f>HYPERLINK("https://sao.dolgi.msk.ru/account/1404221728/", 1404221728)</f>
        <v>1404221728</v>
      </c>
      <c r="F12082">
        <v>-1479.12</v>
      </c>
    </row>
    <row r="12083" spans="1:6" hidden="1" x14ac:dyDescent="0.25">
      <c r="A12083" t="s">
        <v>708</v>
      </c>
      <c r="B12083" t="s">
        <v>193</v>
      </c>
      <c r="E12083" s="3">
        <f>HYPERLINK("https://sao.dolgi.msk.ru/account/1404222341/", 1404222341)</f>
        <v>1404222341</v>
      </c>
      <c r="F12083">
        <v>0</v>
      </c>
    </row>
    <row r="12084" spans="1:6" hidden="1" x14ac:dyDescent="0.25">
      <c r="A12084" t="s">
        <v>708</v>
      </c>
      <c r="B12084" t="s">
        <v>194</v>
      </c>
      <c r="E12084" s="3">
        <f>HYPERLINK("https://sao.dolgi.msk.ru/account/1404222368/", 1404222368)</f>
        <v>1404222368</v>
      </c>
      <c r="F12084">
        <v>-2389.61</v>
      </c>
    </row>
    <row r="12085" spans="1:6" hidden="1" x14ac:dyDescent="0.25">
      <c r="A12085" t="s">
        <v>708</v>
      </c>
      <c r="B12085" t="s">
        <v>195</v>
      </c>
      <c r="E12085" s="3">
        <f>HYPERLINK("https://sao.dolgi.msk.ru/account/1404222798/", 1404222798)</f>
        <v>1404222798</v>
      </c>
      <c r="F12085">
        <v>-449.38</v>
      </c>
    </row>
    <row r="12086" spans="1:6" hidden="1" x14ac:dyDescent="0.25">
      <c r="A12086" t="s">
        <v>708</v>
      </c>
      <c r="B12086" t="s">
        <v>196</v>
      </c>
      <c r="E12086" s="3">
        <f>HYPERLINK("https://sao.dolgi.msk.ru/account/1404221613/", 1404221613)</f>
        <v>1404221613</v>
      </c>
      <c r="F12086">
        <v>-2227.84</v>
      </c>
    </row>
    <row r="12087" spans="1:6" hidden="1" x14ac:dyDescent="0.25">
      <c r="A12087" t="s">
        <v>708</v>
      </c>
      <c r="B12087" t="s">
        <v>197</v>
      </c>
      <c r="E12087" s="3">
        <f>HYPERLINK("https://sao.dolgi.msk.ru/account/1404222296/", 1404222296)</f>
        <v>1404222296</v>
      </c>
      <c r="F12087">
        <v>-2031.91</v>
      </c>
    </row>
    <row r="12088" spans="1:6" hidden="1" x14ac:dyDescent="0.25">
      <c r="A12088" t="s">
        <v>708</v>
      </c>
      <c r="B12088" t="s">
        <v>198</v>
      </c>
      <c r="E12088" s="3">
        <f>HYPERLINK("https://sao.dolgi.msk.ru/account/1404222819/", 1404222819)</f>
        <v>1404222819</v>
      </c>
      <c r="F12088">
        <v>-1359.89</v>
      </c>
    </row>
    <row r="12089" spans="1:6" hidden="1" x14ac:dyDescent="0.25">
      <c r="A12089" t="s">
        <v>708</v>
      </c>
      <c r="B12089" t="s">
        <v>199</v>
      </c>
      <c r="E12089" s="3">
        <f>HYPERLINK("https://sao.dolgi.msk.ru/account/1404222448/", 1404222448)</f>
        <v>1404222448</v>
      </c>
      <c r="F12089">
        <v>-2842.57</v>
      </c>
    </row>
    <row r="12090" spans="1:6" hidden="1" x14ac:dyDescent="0.25">
      <c r="A12090" t="s">
        <v>708</v>
      </c>
      <c r="B12090" t="s">
        <v>200</v>
      </c>
      <c r="E12090" s="3">
        <f>HYPERLINK("https://sao.dolgi.msk.ru/account/1404221795/", 1404221795)</f>
        <v>1404221795</v>
      </c>
      <c r="F12090">
        <v>0</v>
      </c>
    </row>
    <row r="12091" spans="1:6" hidden="1" x14ac:dyDescent="0.25">
      <c r="A12091" t="s">
        <v>708</v>
      </c>
      <c r="B12091" t="s">
        <v>201</v>
      </c>
      <c r="E12091" s="3">
        <f>HYPERLINK("https://sao.dolgi.msk.ru/account/1404222683/", 1404222683)</f>
        <v>1404222683</v>
      </c>
      <c r="F12091">
        <v>-1208.69</v>
      </c>
    </row>
    <row r="12092" spans="1:6" hidden="1" x14ac:dyDescent="0.25">
      <c r="A12092" t="s">
        <v>708</v>
      </c>
      <c r="B12092" t="s">
        <v>202</v>
      </c>
      <c r="E12092" s="3">
        <f>HYPERLINK("https://sao.dolgi.msk.ru/account/1404222691/", 1404222691)</f>
        <v>1404222691</v>
      </c>
      <c r="F12092">
        <v>-1338.49</v>
      </c>
    </row>
    <row r="12093" spans="1:6" hidden="1" x14ac:dyDescent="0.25">
      <c r="A12093" t="s">
        <v>708</v>
      </c>
      <c r="B12093" t="s">
        <v>202</v>
      </c>
      <c r="E12093" s="3">
        <f>HYPERLINK("https://sao.dolgi.msk.ru/account/1404222704/", 1404222704)</f>
        <v>1404222704</v>
      </c>
      <c r="F12093">
        <v>-818.75</v>
      </c>
    </row>
    <row r="12094" spans="1:6" hidden="1" x14ac:dyDescent="0.25">
      <c r="A12094" t="s">
        <v>708</v>
      </c>
      <c r="B12094" t="s">
        <v>203</v>
      </c>
      <c r="E12094" s="3">
        <f>HYPERLINK("https://sao.dolgi.msk.ru/account/1404221947/", 1404221947)</f>
        <v>1404221947</v>
      </c>
      <c r="F12094">
        <v>-2842.57</v>
      </c>
    </row>
    <row r="12095" spans="1:6" hidden="1" x14ac:dyDescent="0.25">
      <c r="A12095" t="s">
        <v>708</v>
      </c>
      <c r="B12095" t="s">
        <v>204</v>
      </c>
      <c r="E12095" s="3">
        <f>HYPERLINK("https://sao.dolgi.msk.ru/account/1404222827/", 1404222827)</f>
        <v>1404222827</v>
      </c>
      <c r="F12095">
        <v>-467.62</v>
      </c>
    </row>
    <row r="12096" spans="1:6" hidden="1" x14ac:dyDescent="0.25">
      <c r="A12096" t="s">
        <v>708</v>
      </c>
      <c r="B12096" t="s">
        <v>205</v>
      </c>
      <c r="E12096" s="3">
        <f>HYPERLINK("https://sao.dolgi.msk.ru/account/1404222456/", 1404222456)</f>
        <v>1404222456</v>
      </c>
      <c r="F12096">
        <v>-2115.19</v>
      </c>
    </row>
    <row r="12097" spans="1:6" x14ac:dyDescent="0.25">
      <c r="A12097" t="s">
        <v>708</v>
      </c>
      <c r="B12097" t="s">
        <v>206</v>
      </c>
      <c r="C12097" s="5" t="str">
        <f t="shared" ref="C12097:C12098" si="501">" кв. "&amp;B12097</f>
        <v xml:space="preserve"> кв. 202</v>
      </c>
      <c r="D12097" s="5" t="str">
        <f>CONCATENATE(A12097,C12097)</f>
        <v>Смольная ул., дом 67 к.3 кв. 202</v>
      </c>
      <c r="E12097" s="3">
        <f>HYPERLINK("https://sao.dolgi.msk.ru/account/1404222464/", 1404222464)</f>
        <v>1404222464</v>
      </c>
      <c r="F12097">
        <v>1647.92</v>
      </c>
    </row>
    <row r="12098" spans="1:6" x14ac:dyDescent="0.25">
      <c r="A12098" t="s">
        <v>708</v>
      </c>
      <c r="B12098" t="s">
        <v>207</v>
      </c>
      <c r="C12098" s="5" t="str">
        <f t="shared" si="501"/>
        <v xml:space="preserve"> кв. 203</v>
      </c>
      <c r="D12098" s="5" t="str">
        <f>CONCATENATE(A12098,C12098)</f>
        <v>Смольная ул., дом 67 к.3 кв. 203</v>
      </c>
      <c r="E12098" s="3">
        <f>HYPERLINK("https://sao.dolgi.msk.ru/account/1404221808/", 1404221808)</f>
        <v>1404221808</v>
      </c>
      <c r="F12098">
        <v>974.21</v>
      </c>
    </row>
    <row r="12099" spans="1:6" hidden="1" x14ac:dyDescent="0.25">
      <c r="A12099" t="s">
        <v>708</v>
      </c>
      <c r="B12099" t="s">
        <v>208</v>
      </c>
      <c r="E12099" s="3">
        <f>HYPERLINK("https://sao.dolgi.msk.ru/account/1404221621/", 1404221621)</f>
        <v>1404221621</v>
      </c>
      <c r="F12099">
        <v>-2204.73</v>
      </c>
    </row>
    <row r="12100" spans="1:6" hidden="1" x14ac:dyDescent="0.25">
      <c r="A12100" t="s">
        <v>708</v>
      </c>
      <c r="B12100" t="s">
        <v>209</v>
      </c>
      <c r="E12100" s="3">
        <f>HYPERLINK("https://sao.dolgi.msk.ru/account/1404221867/", 1404221867)</f>
        <v>1404221867</v>
      </c>
      <c r="F12100">
        <v>-1349.49</v>
      </c>
    </row>
    <row r="12101" spans="1:6" hidden="1" x14ac:dyDescent="0.25">
      <c r="A12101" t="s">
        <v>708</v>
      </c>
      <c r="B12101" t="s">
        <v>210</v>
      </c>
      <c r="E12101" s="3">
        <f>HYPERLINK("https://sao.dolgi.msk.ru/account/1404222608/", 1404222608)</f>
        <v>1404222608</v>
      </c>
      <c r="F12101">
        <v>-2408.1</v>
      </c>
    </row>
    <row r="12102" spans="1:6" hidden="1" x14ac:dyDescent="0.25">
      <c r="A12102" t="s">
        <v>708</v>
      </c>
      <c r="B12102" t="s">
        <v>211</v>
      </c>
      <c r="E12102" s="3">
        <f>HYPERLINK("https://sao.dolgi.msk.ru/account/1404222616/", 1404222616)</f>
        <v>1404222616</v>
      </c>
      <c r="F12102">
        <v>-2842.57</v>
      </c>
    </row>
    <row r="12103" spans="1:6" x14ac:dyDescent="0.25">
      <c r="A12103" t="s">
        <v>708</v>
      </c>
      <c r="B12103" t="s">
        <v>212</v>
      </c>
      <c r="C12103" s="5" t="str">
        <f t="shared" ref="C12103:C12104" si="502">" кв. "&amp;B12103</f>
        <v xml:space="preserve"> кв. 208</v>
      </c>
      <c r="D12103" s="5" t="str">
        <f>CONCATENATE(A12103,C12103)</f>
        <v>Смольная ул., дом 67 к.3 кв. 208</v>
      </c>
      <c r="E12103" s="3">
        <f>HYPERLINK("https://sao.dolgi.msk.ru/account/1404222624/", 1404222624)</f>
        <v>1404222624</v>
      </c>
      <c r="F12103">
        <v>2030.65</v>
      </c>
    </row>
    <row r="12104" spans="1:6" x14ac:dyDescent="0.25">
      <c r="A12104" t="s">
        <v>708</v>
      </c>
      <c r="B12104" t="s">
        <v>213</v>
      </c>
      <c r="C12104" s="5" t="str">
        <f t="shared" si="502"/>
        <v xml:space="preserve"> кв. 209</v>
      </c>
      <c r="D12104" s="5" t="str">
        <f>CONCATENATE(A12104,C12104)</f>
        <v>Смольная ул., дом 67 к.3 кв. 209</v>
      </c>
      <c r="E12104" s="3">
        <f>HYPERLINK("https://sao.dolgi.msk.ru/account/1404222413/", 1404222413)</f>
        <v>1404222413</v>
      </c>
      <c r="F12104">
        <v>1654.25</v>
      </c>
    </row>
    <row r="12105" spans="1:6" hidden="1" x14ac:dyDescent="0.25">
      <c r="A12105" t="s">
        <v>708</v>
      </c>
      <c r="B12105" t="s">
        <v>214</v>
      </c>
      <c r="E12105" s="3">
        <f>HYPERLINK("https://sao.dolgi.msk.ru/account/1404221752/", 1404221752)</f>
        <v>1404221752</v>
      </c>
      <c r="F12105">
        <v>-1204.06</v>
      </c>
    </row>
    <row r="12106" spans="1:6" hidden="1" x14ac:dyDescent="0.25">
      <c r="A12106" t="s">
        <v>708</v>
      </c>
      <c r="B12106" t="s">
        <v>215</v>
      </c>
      <c r="E12106" s="3">
        <f>HYPERLINK("https://sao.dolgi.msk.ru/account/1404222202/", 1404222202)</f>
        <v>1404222202</v>
      </c>
      <c r="F12106">
        <v>-1421.29</v>
      </c>
    </row>
    <row r="12107" spans="1:6" hidden="1" x14ac:dyDescent="0.25">
      <c r="A12107" t="s">
        <v>708</v>
      </c>
      <c r="B12107" t="s">
        <v>216</v>
      </c>
      <c r="E12107" s="3">
        <f>HYPERLINK("https://sao.dolgi.msk.ru/account/1404222632/", 1404222632)</f>
        <v>1404222632</v>
      </c>
      <c r="F12107">
        <v>-2039.28</v>
      </c>
    </row>
    <row r="12108" spans="1:6" x14ac:dyDescent="0.25">
      <c r="A12108" t="s">
        <v>708</v>
      </c>
      <c r="B12108" t="s">
        <v>217</v>
      </c>
      <c r="C12108" s="5" t="str">
        <f>" кв. "&amp;B12108</f>
        <v xml:space="preserve"> кв. 213</v>
      </c>
      <c r="D12108" s="5" t="str">
        <f>CONCATENATE(A12108,C12108)</f>
        <v>Смольная ул., дом 67 к.3 кв. 213</v>
      </c>
      <c r="E12108" s="3">
        <f>HYPERLINK("https://sao.dolgi.msk.ru/account/1404221875/", 1404221875)</f>
        <v>1404221875</v>
      </c>
      <c r="F12108">
        <v>1651.09</v>
      </c>
    </row>
    <row r="12109" spans="1:6" hidden="1" x14ac:dyDescent="0.25">
      <c r="A12109" t="s">
        <v>708</v>
      </c>
      <c r="B12109" t="s">
        <v>218</v>
      </c>
      <c r="E12109" s="3">
        <f>HYPERLINK("https://sao.dolgi.msk.ru/account/1404222309/", 1404222309)</f>
        <v>1404222309</v>
      </c>
      <c r="F12109">
        <v>0</v>
      </c>
    </row>
    <row r="12110" spans="1:6" hidden="1" x14ac:dyDescent="0.25">
      <c r="A12110" t="s">
        <v>708</v>
      </c>
      <c r="B12110" t="s">
        <v>219</v>
      </c>
      <c r="E12110" s="3">
        <f>HYPERLINK("https://sao.dolgi.msk.ru/account/1404221971/", 1404221971)</f>
        <v>1404221971</v>
      </c>
      <c r="F12110">
        <v>0</v>
      </c>
    </row>
    <row r="12111" spans="1:6" hidden="1" x14ac:dyDescent="0.25">
      <c r="A12111" t="s">
        <v>708</v>
      </c>
      <c r="B12111" t="s">
        <v>219</v>
      </c>
      <c r="E12111" s="3">
        <f>HYPERLINK("https://sao.dolgi.msk.ru/account/1404222288/", 1404222288)</f>
        <v>1404222288</v>
      </c>
      <c r="F12111">
        <v>0</v>
      </c>
    </row>
    <row r="12112" spans="1:6" hidden="1" x14ac:dyDescent="0.25">
      <c r="A12112" t="s">
        <v>708</v>
      </c>
      <c r="B12112" t="s">
        <v>220</v>
      </c>
      <c r="E12112" s="3">
        <f>HYPERLINK("https://sao.dolgi.msk.ru/account/1404222085/", 1404222085)</f>
        <v>1404222085</v>
      </c>
      <c r="F12112">
        <v>-1977.11</v>
      </c>
    </row>
    <row r="12113" spans="1:6" hidden="1" x14ac:dyDescent="0.25">
      <c r="A12113" t="s">
        <v>708</v>
      </c>
      <c r="B12113" t="s">
        <v>221</v>
      </c>
      <c r="E12113" s="3">
        <f>HYPERLINK("https://sao.dolgi.msk.ru/account/1404221998/", 1404221998)</f>
        <v>1404221998</v>
      </c>
      <c r="F12113">
        <v>-2408.1</v>
      </c>
    </row>
    <row r="12114" spans="1:6" hidden="1" x14ac:dyDescent="0.25">
      <c r="A12114" t="s">
        <v>708</v>
      </c>
      <c r="B12114" t="s">
        <v>222</v>
      </c>
      <c r="E12114" s="3">
        <f>HYPERLINK("https://sao.dolgi.msk.ru/account/1404221488/", 1404221488)</f>
        <v>1404221488</v>
      </c>
      <c r="F12114">
        <v>-2421.9699999999998</v>
      </c>
    </row>
    <row r="12115" spans="1:6" hidden="1" x14ac:dyDescent="0.25">
      <c r="A12115" t="s">
        <v>708</v>
      </c>
      <c r="B12115" t="s">
        <v>223</v>
      </c>
      <c r="E12115" s="3">
        <f>HYPERLINK("https://sao.dolgi.msk.ru/account/1404222528/", 1404222528)</f>
        <v>1404222528</v>
      </c>
      <c r="F12115">
        <v>0</v>
      </c>
    </row>
    <row r="12116" spans="1:6" hidden="1" x14ac:dyDescent="0.25">
      <c r="A12116" t="s">
        <v>708</v>
      </c>
      <c r="B12116" t="s">
        <v>224</v>
      </c>
      <c r="E12116" s="3">
        <f>HYPERLINK("https://sao.dolgi.msk.ru/account/1404221496/", 1404221496)</f>
        <v>1404221496</v>
      </c>
      <c r="F12116">
        <v>0</v>
      </c>
    </row>
    <row r="12117" spans="1:6" hidden="1" x14ac:dyDescent="0.25">
      <c r="A12117" t="s">
        <v>708</v>
      </c>
      <c r="B12117" t="s">
        <v>225</v>
      </c>
      <c r="E12117" s="3">
        <f>HYPERLINK("https://sao.dolgi.msk.ru/account/1404221672/", 1404221672)</f>
        <v>1404221672</v>
      </c>
      <c r="F12117">
        <v>-2426.6</v>
      </c>
    </row>
    <row r="12118" spans="1:6" hidden="1" x14ac:dyDescent="0.25">
      <c r="A12118" t="s">
        <v>708</v>
      </c>
      <c r="B12118" t="s">
        <v>226</v>
      </c>
      <c r="E12118" s="3">
        <f>HYPERLINK("https://sao.dolgi.msk.ru/account/1404221509/", 1404221509)</f>
        <v>1404221509</v>
      </c>
      <c r="F12118">
        <v>-2398.86</v>
      </c>
    </row>
    <row r="12119" spans="1:6" hidden="1" x14ac:dyDescent="0.25">
      <c r="A12119" t="s">
        <v>708</v>
      </c>
      <c r="B12119" t="s">
        <v>227</v>
      </c>
      <c r="E12119" s="3">
        <f>HYPERLINK("https://sao.dolgi.msk.ru/account/1404221824/", 1404221824)</f>
        <v>1404221824</v>
      </c>
      <c r="F12119">
        <v>-2819.47</v>
      </c>
    </row>
    <row r="12120" spans="1:6" hidden="1" x14ac:dyDescent="0.25">
      <c r="A12120" t="s">
        <v>708</v>
      </c>
      <c r="B12120" t="s">
        <v>228</v>
      </c>
      <c r="E12120" s="3">
        <f>HYPERLINK("https://sao.dolgi.msk.ru/account/1404222536/", 1404222536)</f>
        <v>1404222536</v>
      </c>
      <c r="F12120">
        <v>-2981.24</v>
      </c>
    </row>
    <row r="12121" spans="1:6" hidden="1" x14ac:dyDescent="0.25">
      <c r="A12121" t="s">
        <v>708</v>
      </c>
      <c r="B12121" t="s">
        <v>229</v>
      </c>
      <c r="E12121" s="3">
        <f>HYPERLINK("https://sao.dolgi.msk.ru/account/1404222739/", 1404222739)</f>
        <v>1404222739</v>
      </c>
      <c r="F12121">
        <v>-1498.51</v>
      </c>
    </row>
    <row r="12122" spans="1:6" hidden="1" x14ac:dyDescent="0.25">
      <c r="A12122" t="s">
        <v>708</v>
      </c>
      <c r="B12122" t="s">
        <v>230</v>
      </c>
      <c r="E12122" s="3">
        <f>HYPERLINK("https://sao.dolgi.msk.ru/account/1404222093/", 1404222093)</f>
        <v>1404222093</v>
      </c>
      <c r="F12122">
        <v>-1349.49</v>
      </c>
    </row>
    <row r="12123" spans="1:6" hidden="1" x14ac:dyDescent="0.25">
      <c r="A12123" t="s">
        <v>708</v>
      </c>
      <c r="B12123" t="s">
        <v>231</v>
      </c>
      <c r="E12123" s="3">
        <f>HYPERLINK("https://sao.dolgi.msk.ru/account/1404221832/", 1404221832)</f>
        <v>1404221832</v>
      </c>
      <c r="F12123">
        <v>-2842.57</v>
      </c>
    </row>
    <row r="12124" spans="1:6" hidden="1" x14ac:dyDescent="0.25">
      <c r="A12124" t="s">
        <v>708</v>
      </c>
      <c r="B12124" t="s">
        <v>232</v>
      </c>
      <c r="E12124" s="3">
        <f>HYPERLINK("https://sao.dolgi.msk.ru/account/1404222018/", 1404222018)</f>
        <v>1404222018</v>
      </c>
      <c r="F12124">
        <v>0</v>
      </c>
    </row>
    <row r="12125" spans="1:6" hidden="1" x14ac:dyDescent="0.25">
      <c r="A12125" t="s">
        <v>708</v>
      </c>
      <c r="B12125" t="s">
        <v>233</v>
      </c>
      <c r="E12125" s="3">
        <f>HYPERLINK("https://sao.dolgi.msk.ru/account/1404222544/", 1404222544)</f>
        <v>1404222544</v>
      </c>
      <c r="F12125">
        <v>-2408.1</v>
      </c>
    </row>
    <row r="12126" spans="1:6" hidden="1" x14ac:dyDescent="0.25">
      <c r="A12126" t="s">
        <v>708</v>
      </c>
      <c r="B12126" t="s">
        <v>234</v>
      </c>
      <c r="E12126" s="3">
        <f>HYPERLINK("https://sao.dolgi.msk.ru/account/1404221517/", 1404221517)</f>
        <v>1404221517</v>
      </c>
      <c r="F12126">
        <v>0</v>
      </c>
    </row>
    <row r="12127" spans="1:6" hidden="1" x14ac:dyDescent="0.25">
      <c r="A12127" t="s">
        <v>708</v>
      </c>
      <c r="B12127" t="s">
        <v>235</v>
      </c>
      <c r="E12127" s="3">
        <f>HYPERLINK("https://sao.dolgi.msk.ru/account/1404222317/", 1404222317)</f>
        <v>1404222317</v>
      </c>
      <c r="F12127">
        <v>-2851.81</v>
      </c>
    </row>
    <row r="12128" spans="1:6" hidden="1" x14ac:dyDescent="0.25">
      <c r="A12128" t="s">
        <v>708</v>
      </c>
      <c r="B12128" t="s">
        <v>239</v>
      </c>
      <c r="E12128" s="3">
        <f>HYPERLINK("https://sao.dolgi.msk.ru/account/1404221699/", 1404221699)</f>
        <v>1404221699</v>
      </c>
      <c r="F12128">
        <v>-2510.6999999999998</v>
      </c>
    </row>
    <row r="12129" spans="1:6" hidden="1" x14ac:dyDescent="0.25">
      <c r="A12129" t="s">
        <v>708</v>
      </c>
      <c r="B12129" t="s">
        <v>240</v>
      </c>
      <c r="E12129" s="3">
        <f>HYPERLINK("https://sao.dolgi.msk.ru/account/1404221779/", 1404221779)</f>
        <v>1404221779</v>
      </c>
      <c r="F12129">
        <v>-2412.73</v>
      </c>
    </row>
    <row r="12130" spans="1:6" hidden="1" x14ac:dyDescent="0.25">
      <c r="A12130" t="s">
        <v>708</v>
      </c>
      <c r="B12130" t="s">
        <v>241</v>
      </c>
      <c r="E12130" s="3">
        <f>HYPERLINK("https://sao.dolgi.msk.ru/account/1404221605/", 1404221605)</f>
        <v>1404221605</v>
      </c>
      <c r="F12130">
        <v>0</v>
      </c>
    </row>
    <row r="12131" spans="1:6" x14ac:dyDescent="0.25">
      <c r="A12131" t="s">
        <v>708</v>
      </c>
      <c r="B12131" t="s">
        <v>242</v>
      </c>
      <c r="C12131" s="5" t="str">
        <f t="shared" ref="C12131:C12132" si="503">" кв. "&amp;B12131</f>
        <v xml:space="preserve"> кв. 235</v>
      </c>
      <c r="D12131" s="5" t="str">
        <f>CONCATENATE(A12131,C12131)</f>
        <v>Смольная ул., дом 67 к.3 кв. 235</v>
      </c>
      <c r="E12131" s="3">
        <f>HYPERLINK("https://sao.dolgi.msk.ru/account/1404221883/", 1404221883)</f>
        <v>1404221883</v>
      </c>
      <c r="F12131">
        <v>1290.5</v>
      </c>
    </row>
    <row r="12132" spans="1:6" x14ac:dyDescent="0.25">
      <c r="A12132" t="s">
        <v>708</v>
      </c>
      <c r="B12132" t="s">
        <v>243</v>
      </c>
      <c r="C12132" s="5" t="str">
        <f t="shared" si="503"/>
        <v xml:space="preserve"> кв. 236</v>
      </c>
      <c r="D12132" s="5" t="str">
        <f>CONCATENATE(A12132,C12132)</f>
        <v>Смольная ул., дом 67 к.3 кв. 236</v>
      </c>
      <c r="E12132" s="3">
        <f>HYPERLINK("https://sao.dolgi.msk.ru/account/1404221744/", 1404221744)</f>
        <v>1404221744</v>
      </c>
      <c r="F12132">
        <v>817.32</v>
      </c>
    </row>
    <row r="12133" spans="1:6" hidden="1" x14ac:dyDescent="0.25">
      <c r="A12133" t="s">
        <v>708</v>
      </c>
      <c r="B12133" t="s">
        <v>243</v>
      </c>
      <c r="E12133" s="3">
        <f>HYPERLINK("https://sao.dolgi.msk.ru/account/1404222659/", 1404222659)</f>
        <v>1404222659</v>
      </c>
      <c r="F12133">
        <v>0</v>
      </c>
    </row>
    <row r="12134" spans="1:6" x14ac:dyDescent="0.25">
      <c r="A12134" t="s">
        <v>708</v>
      </c>
      <c r="B12134" t="s">
        <v>243</v>
      </c>
      <c r="C12134" s="5" t="str">
        <f>" кв. "&amp;B12134</f>
        <v xml:space="preserve"> кв. 236</v>
      </c>
      <c r="D12134" s="5" t="str">
        <f>CONCATENATE(A12134,C12134)</f>
        <v>Смольная ул., дом 67 к.3 кв. 236</v>
      </c>
      <c r="E12134" s="3">
        <f>HYPERLINK("https://sao.dolgi.msk.ru/account/1404222771/", 1404222771)</f>
        <v>1404222771</v>
      </c>
      <c r="F12134">
        <v>408.66</v>
      </c>
    </row>
    <row r="12135" spans="1:6" hidden="1" x14ac:dyDescent="0.25">
      <c r="A12135" t="s">
        <v>708</v>
      </c>
      <c r="B12135" t="s">
        <v>244</v>
      </c>
      <c r="E12135" s="3">
        <f>HYPERLINK("https://sao.dolgi.msk.ru/account/1404222755/", 1404222755)</f>
        <v>1404222755</v>
      </c>
      <c r="F12135">
        <v>0</v>
      </c>
    </row>
    <row r="12136" spans="1:6" hidden="1" x14ac:dyDescent="0.25">
      <c r="A12136" t="s">
        <v>708</v>
      </c>
      <c r="B12136" t="s">
        <v>245</v>
      </c>
      <c r="E12136" s="3">
        <f>HYPERLINK("https://sao.dolgi.msk.ru/account/1404222042/", 1404222042)</f>
        <v>1404222042</v>
      </c>
      <c r="F12136">
        <v>0</v>
      </c>
    </row>
    <row r="12137" spans="1:6" hidden="1" x14ac:dyDescent="0.25">
      <c r="A12137" t="s">
        <v>708</v>
      </c>
      <c r="B12137" t="s">
        <v>246</v>
      </c>
      <c r="E12137" s="3">
        <f>HYPERLINK("https://sao.dolgi.msk.ru/account/1404222667/", 1404222667)</f>
        <v>1404222667</v>
      </c>
      <c r="F12137">
        <v>-4088.53</v>
      </c>
    </row>
    <row r="12138" spans="1:6" hidden="1" x14ac:dyDescent="0.25">
      <c r="A12138" t="s">
        <v>708</v>
      </c>
      <c r="B12138" t="s">
        <v>247</v>
      </c>
      <c r="E12138" s="3">
        <f>HYPERLINK("https://sao.dolgi.msk.ru/account/1404222229/", 1404222229)</f>
        <v>1404222229</v>
      </c>
      <c r="F12138">
        <v>-1297.74</v>
      </c>
    </row>
    <row r="12139" spans="1:6" hidden="1" x14ac:dyDescent="0.25">
      <c r="A12139" t="s">
        <v>708</v>
      </c>
      <c r="B12139" t="s">
        <v>248</v>
      </c>
      <c r="E12139" s="3">
        <f>HYPERLINK("https://sao.dolgi.msk.ru/account/1404222237/", 1404222237)</f>
        <v>1404222237</v>
      </c>
      <c r="F12139">
        <v>-2100.9</v>
      </c>
    </row>
    <row r="12140" spans="1:6" hidden="1" x14ac:dyDescent="0.25">
      <c r="A12140" t="s">
        <v>708</v>
      </c>
      <c r="B12140" t="s">
        <v>249</v>
      </c>
      <c r="E12140" s="3">
        <f>HYPERLINK("https://sao.dolgi.msk.ru/account/1404222069/", 1404222069)</f>
        <v>1404222069</v>
      </c>
      <c r="F12140">
        <v>-2421.15</v>
      </c>
    </row>
    <row r="12141" spans="1:6" hidden="1" x14ac:dyDescent="0.25">
      <c r="A12141" t="s">
        <v>708</v>
      </c>
      <c r="B12141" t="s">
        <v>250</v>
      </c>
      <c r="E12141" s="3">
        <f>HYPERLINK("https://sao.dolgi.msk.ru/account/1404222245/", 1404222245)</f>
        <v>1404222245</v>
      </c>
      <c r="F12141">
        <v>-2024.12</v>
      </c>
    </row>
    <row r="12142" spans="1:6" x14ac:dyDescent="0.25">
      <c r="A12142" t="s">
        <v>708</v>
      </c>
      <c r="B12142" t="s">
        <v>251</v>
      </c>
      <c r="C12142" s="5" t="str">
        <f>" кв. "&amp;B12142</f>
        <v xml:space="preserve"> кв. 244</v>
      </c>
      <c r="D12142" s="5" t="str">
        <f>CONCATENATE(A12142,C12142)</f>
        <v>Смольная ул., дом 67 к.3 кв. 244</v>
      </c>
      <c r="E12142" s="3">
        <f>HYPERLINK("https://sao.dolgi.msk.ru/account/1404221891/", 1404221891)</f>
        <v>1404221891</v>
      </c>
      <c r="F12142">
        <v>1233.57</v>
      </c>
    </row>
    <row r="12143" spans="1:6" hidden="1" x14ac:dyDescent="0.25">
      <c r="A12143" t="s">
        <v>708</v>
      </c>
      <c r="B12143" t="s">
        <v>252</v>
      </c>
      <c r="E12143" s="3">
        <f>HYPERLINK("https://sao.dolgi.msk.ru/account/1404222421/", 1404222421)</f>
        <v>1404222421</v>
      </c>
      <c r="F12143">
        <v>-2648.45</v>
      </c>
    </row>
    <row r="12144" spans="1:6" hidden="1" x14ac:dyDescent="0.25">
      <c r="A12144" t="s">
        <v>708</v>
      </c>
      <c r="B12144" t="s">
        <v>253</v>
      </c>
      <c r="E12144" s="3">
        <f>HYPERLINK("https://sao.dolgi.msk.ru/account/1404221787/", 1404221787)</f>
        <v>1404221787</v>
      </c>
      <c r="F12144">
        <v>-2107.66</v>
      </c>
    </row>
    <row r="12145" spans="1:6" hidden="1" x14ac:dyDescent="0.25">
      <c r="A12145" t="s">
        <v>708</v>
      </c>
      <c r="B12145" t="s">
        <v>254</v>
      </c>
      <c r="E12145" s="3">
        <f>HYPERLINK("https://sao.dolgi.msk.ru/account/1404221904/", 1404221904)</f>
        <v>1404221904</v>
      </c>
      <c r="F12145">
        <v>-2417.35</v>
      </c>
    </row>
    <row r="12146" spans="1:6" hidden="1" x14ac:dyDescent="0.25">
      <c r="A12146" t="s">
        <v>708</v>
      </c>
      <c r="B12146" t="s">
        <v>255</v>
      </c>
      <c r="E12146" s="3">
        <f>HYPERLINK("https://sao.dolgi.msk.ru/account/1404222253/", 1404222253)</f>
        <v>1404222253</v>
      </c>
      <c r="F12146">
        <v>-40.659999999999997</v>
      </c>
    </row>
    <row r="12147" spans="1:6" x14ac:dyDescent="0.25">
      <c r="A12147" t="s">
        <v>708</v>
      </c>
      <c r="B12147" t="s">
        <v>256</v>
      </c>
      <c r="C12147" s="5" t="str">
        <f>" кв. "&amp;B12147</f>
        <v xml:space="preserve"> кв. 249</v>
      </c>
      <c r="D12147" s="5" t="str">
        <f>CONCATENATE(A12147,C12147)</f>
        <v>Смольная ул., дом 67 к.3 кв. 249</v>
      </c>
      <c r="E12147" s="3">
        <f>HYPERLINK("https://sao.dolgi.msk.ru/account/1404221912/", 1404221912)</f>
        <v>1404221912</v>
      </c>
      <c r="F12147">
        <v>1167.1400000000001</v>
      </c>
    </row>
    <row r="12148" spans="1:6" hidden="1" x14ac:dyDescent="0.25">
      <c r="A12148" t="s">
        <v>708</v>
      </c>
      <c r="B12148" t="s">
        <v>257</v>
      </c>
      <c r="E12148" s="3">
        <f>HYPERLINK("https://sao.dolgi.msk.ru/account/1404222763/", 1404222763)</f>
        <v>1404222763</v>
      </c>
      <c r="F12148">
        <v>0</v>
      </c>
    </row>
    <row r="12149" spans="1:6" hidden="1" x14ac:dyDescent="0.25">
      <c r="A12149" t="s">
        <v>708</v>
      </c>
      <c r="B12149" t="s">
        <v>258</v>
      </c>
      <c r="E12149" s="3">
        <f>HYPERLINK("https://sao.dolgi.msk.ru/account/1404222675/", 1404222675)</f>
        <v>1404222675</v>
      </c>
      <c r="F12149">
        <v>0</v>
      </c>
    </row>
    <row r="12150" spans="1:6" hidden="1" x14ac:dyDescent="0.25">
      <c r="A12150" t="s">
        <v>708</v>
      </c>
      <c r="B12150" t="s">
        <v>259</v>
      </c>
      <c r="E12150" s="3">
        <f>HYPERLINK("https://sao.dolgi.msk.ru/account/1404221939/", 1404221939)</f>
        <v>1404221939</v>
      </c>
      <c r="F12150">
        <v>-1640.84</v>
      </c>
    </row>
    <row r="12151" spans="1:6" hidden="1" x14ac:dyDescent="0.25">
      <c r="A12151" t="s">
        <v>708</v>
      </c>
      <c r="B12151" t="s">
        <v>260</v>
      </c>
      <c r="E12151" s="3">
        <f>HYPERLINK("https://sao.dolgi.msk.ru/account/1404221584/", 1404221584)</f>
        <v>1404221584</v>
      </c>
      <c r="F12151">
        <v>-2791.73</v>
      </c>
    </row>
    <row r="12152" spans="1:6" hidden="1" x14ac:dyDescent="0.25">
      <c r="A12152" t="s">
        <v>708</v>
      </c>
      <c r="B12152" t="s">
        <v>261</v>
      </c>
      <c r="E12152" s="3">
        <f>HYPERLINK("https://sao.dolgi.msk.ru/account/1404222392/", 1404222392)</f>
        <v>1404222392</v>
      </c>
      <c r="F12152">
        <v>-2874.93</v>
      </c>
    </row>
    <row r="12153" spans="1:6" hidden="1" x14ac:dyDescent="0.25">
      <c r="A12153" t="s">
        <v>708</v>
      </c>
      <c r="B12153" t="s">
        <v>262</v>
      </c>
      <c r="E12153" s="3">
        <f>HYPERLINK("https://sao.dolgi.msk.ru/account/1404221859/", 1404221859)</f>
        <v>1404221859</v>
      </c>
      <c r="F12153">
        <v>-2412.73</v>
      </c>
    </row>
    <row r="12154" spans="1:6" hidden="1" x14ac:dyDescent="0.25">
      <c r="A12154" t="s">
        <v>708</v>
      </c>
      <c r="B12154" t="s">
        <v>263</v>
      </c>
      <c r="E12154" s="3">
        <f>HYPERLINK("https://sao.dolgi.msk.ru/account/1404222181/", 1404222181)</f>
        <v>1404222181</v>
      </c>
      <c r="F12154">
        <v>-1513.91</v>
      </c>
    </row>
    <row r="12155" spans="1:6" hidden="1" x14ac:dyDescent="0.25">
      <c r="A12155" t="s">
        <v>708</v>
      </c>
      <c r="B12155" t="s">
        <v>264</v>
      </c>
      <c r="E12155" s="3">
        <f>HYPERLINK("https://sao.dolgi.msk.ru/account/1404222405/", 1404222405)</f>
        <v>1404222405</v>
      </c>
      <c r="F12155">
        <v>-2800.98</v>
      </c>
    </row>
    <row r="12156" spans="1:6" hidden="1" x14ac:dyDescent="0.25">
      <c r="A12156" t="s">
        <v>708</v>
      </c>
      <c r="B12156" t="s">
        <v>265</v>
      </c>
      <c r="E12156" s="3">
        <f>HYPERLINK("https://sao.dolgi.msk.ru/account/1404222587/", 1404222587)</f>
        <v>1404222587</v>
      </c>
      <c r="F12156">
        <v>-2888.8</v>
      </c>
    </row>
    <row r="12157" spans="1:6" hidden="1" x14ac:dyDescent="0.25">
      <c r="A12157" t="s">
        <v>708</v>
      </c>
      <c r="B12157" t="s">
        <v>266</v>
      </c>
      <c r="E12157" s="3">
        <f>HYPERLINK("https://sao.dolgi.msk.ru/account/1404221592/", 1404221592)</f>
        <v>1404221592</v>
      </c>
      <c r="F12157">
        <v>-1513.74</v>
      </c>
    </row>
    <row r="12158" spans="1:6" hidden="1" x14ac:dyDescent="0.25">
      <c r="A12158" t="s">
        <v>708</v>
      </c>
      <c r="B12158" t="s">
        <v>266</v>
      </c>
      <c r="E12158" s="3">
        <f>HYPERLINK("https://sao.dolgi.msk.ru/account/1404222261/", 1404222261)</f>
        <v>1404222261</v>
      </c>
      <c r="F12158">
        <v>-605.49</v>
      </c>
    </row>
    <row r="12159" spans="1:6" hidden="1" x14ac:dyDescent="0.25">
      <c r="A12159" t="s">
        <v>708</v>
      </c>
      <c r="B12159" t="s">
        <v>267</v>
      </c>
      <c r="E12159" s="3">
        <f>HYPERLINK("https://sao.dolgi.msk.ru/account/1404222595/", 1404222595)</f>
        <v>1404222595</v>
      </c>
      <c r="F12159">
        <v>-1201.74</v>
      </c>
    </row>
    <row r="12160" spans="1:6" hidden="1" x14ac:dyDescent="0.25">
      <c r="A12160" t="s">
        <v>708</v>
      </c>
      <c r="B12160" t="s">
        <v>268</v>
      </c>
      <c r="E12160" s="3">
        <f>HYPERLINK("https://sao.dolgi.msk.ru/account/1404222747/", 1404222747)</f>
        <v>1404222747</v>
      </c>
      <c r="F12160">
        <v>-2796.36</v>
      </c>
    </row>
    <row r="12161" spans="1:6" x14ac:dyDescent="0.25">
      <c r="A12161" t="s">
        <v>708</v>
      </c>
      <c r="B12161" t="s">
        <v>269</v>
      </c>
      <c r="C12161" s="5" t="str">
        <f>" кв. "&amp;B12161</f>
        <v xml:space="preserve"> кв. 262</v>
      </c>
      <c r="D12161" s="5" t="str">
        <f>CONCATENATE(A12161,C12161)</f>
        <v>Смольная ул., дом 67 к.3 кв. 262</v>
      </c>
      <c r="E12161" s="3">
        <f>HYPERLINK("https://sao.dolgi.msk.ru/account/1404221525/", 1404221525)</f>
        <v>1404221525</v>
      </c>
      <c r="F12161">
        <v>1989.53</v>
      </c>
    </row>
    <row r="12162" spans="1:6" hidden="1" x14ac:dyDescent="0.25">
      <c r="A12162" t="s">
        <v>708</v>
      </c>
      <c r="B12162" t="s">
        <v>270</v>
      </c>
      <c r="E12162" s="3">
        <f>HYPERLINK("https://sao.dolgi.msk.ru/account/1404221736/", 1404221736)</f>
        <v>1404221736</v>
      </c>
      <c r="F12162">
        <v>0</v>
      </c>
    </row>
    <row r="12163" spans="1:6" hidden="1" x14ac:dyDescent="0.25">
      <c r="A12163" t="s">
        <v>708</v>
      </c>
      <c r="B12163" t="s">
        <v>271</v>
      </c>
      <c r="E12163" s="3">
        <f>HYPERLINK("https://sao.dolgi.msk.ru/account/1404222114/", 1404222114)</f>
        <v>1404222114</v>
      </c>
      <c r="F12163">
        <v>-1640.84</v>
      </c>
    </row>
    <row r="12164" spans="1:6" hidden="1" x14ac:dyDescent="0.25">
      <c r="A12164" t="s">
        <v>708</v>
      </c>
      <c r="B12164" t="s">
        <v>272</v>
      </c>
      <c r="E12164" s="3">
        <f>HYPERLINK("https://sao.dolgi.msk.ru/account/1404222122/", 1404222122)</f>
        <v>1404222122</v>
      </c>
      <c r="F12164">
        <v>-2450.86</v>
      </c>
    </row>
    <row r="12165" spans="1:6" x14ac:dyDescent="0.25">
      <c r="A12165" t="s">
        <v>708</v>
      </c>
      <c r="B12165" t="s">
        <v>273</v>
      </c>
      <c r="C12165" s="5" t="str">
        <f>" кв. "&amp;B12165</f>
        <v xml:space="preserve"> кв. 266</v>
      </c>
      <c r="D12165" s="5" t="str">
        <f>CONCATENATE(A12165,C12165)</f>
        <v>Смольная ул., дом 67 к.3 кв. 266</v>
      </c>
      <c r="E12165" s="3">
        <f>HYPERLINK("https://sao.dolgi.msk.ru/account/1404222034/", 1404222034)</f>
        <v>1404222034</v>
      </c>
      <c r="F12165">
        <v>1964.22</v>
      </c>
    </row>
    <row r="12166" spans="1:6" hidden="1" x14ac:dyDescent="0.25">
      <c r="A12166" t="s">
        <v>708</v>
      </c>
      <c r="B12166" t="s">
        <v>274</v>
      </c>
      <c r="E12166" s="3">
        <f>HYPERLINK("https://sao.dolgi.msk.ru/account/1404222149/", 1404222149)</f>
        <v>1404222149</v>
      </c>
      <c r="F12166">
        <v>-1654.71</v>
      </c>
    </row>
    <row r="12167" spans="1:6" hidden="1" x14ac:dyDescent="0.25">
      <c r="A12167" t="s">
        <v>708</v>
      </c>
      <c r="B12167" t="s">
        <v>275</v>
      </c>
      <c r="E12167" s="3">
        <f>HYPERLINK("https://sao.dolgi.msk.ru/account/1404222376/", 1404222376)</f>
        <v>1404222376</v>
      </c>
      <c r="F12167">
        <v>-2028.02</v>
      </c>
    </row>
    <row r="12168" spans="1:6" hidden="1" x14ac:dyDescent="0.25">
      <c r="A12168" t="s">
        <v>708</v>
      </c>
      <c r="B12168" t="s">
        <v>276</v>
      </c>
      <c r="E12168" s="3">
        <f>HYPERLINK("https://sao.dolgi.msk.ru/account/1404222384/", 1404222384)</f>
        <v>1404222384</v>
      </c>
      <c r="F12168">
        <v>-1885.88</v>
      </c>
    </row>
    <row r="12169" spans="1:6" hidden="1" x14ac:dyDescent="0.25">
      <c r="A12169" t="s">
        <v>708</v>
      </c>
      <c r="B12169" t="s">
        <v>277</v>
      </c>
      <c r="E12169" s="3">
        <f>HYPERLINK("https://sao.dolgi.msk.ru/account/1404222157/", 1404222157)</f>
        <v>1404222157</v>
      </c>
      <c r="F12169">
        <v>0</v>
      </c>
    </row>
    <row r="12170" spans="1:6" hidden="1" x14ac:dyDescent="0.25">
      <c r="A12170" t="s">
        <v>708</v>
      </c>
      <c r="B12170" t="s">
        <v>278</v>
      </c>
      <c r="E12170" s="3">
        <f>HYPERLINK("https://sao.dolgi.msk.ru/account/1404221533/", 1404221533)</f>
        <v>1404221533</v>
      </c>
      <c r="F12170">
        <v>-2412.73</v>
      </c>
    </row>
    <row r="12171" spans="1:6" hidden="1" x14ac:dyDescent="0.25">
      <c r="A12171" t="s">
        <v>708</v>
      </c>
      <c r="B12171" t="s">
        <v>279</v>
      </c>
      <c r="E12171" s="3">
        <f>HYPERLINK("https://sao.dolgi.msk.ru/account/1404221541/", 1404221541)</f>
        <v>1404221541</v>
      </c>
      <c r="F12171">
        <v>-2035.81</v>
      </c>
    </row>
    <row r="12172" spans="1:6" x14ac:dyDescent="0.25">
      <c r="A12172" t="s">
        <v>708</v>
      </c>
      <c r="B12172" t="s">
        <v>280</v>
      </c>
      <c r="C12172" s="5" t="str">
        <f t="shared" ref="C12172:C12174" si="504">" кв. "&amp;B12172</f>
        <v xml:space="preserve"> кв. 273</v>
      </c>
      <c r="D12172" s="5" t="str">
        <f>CONCATENATE(A12172,C12172)</f>
        <v>Смольная ул., дом 67 к.3 кв. 273</v>
      </c>
      <c r="E12172" s="3">
        <f>HYPERLINK("https://sao.dolgi.msk.ru/account/1404221568/", 1404221568)</f>
        <v>1404221568</v>
      </c>
      <c r="F12172">
        <v>1919.94</v>
      </c>
    </row>
    <row r="12173" spans="1:6" x14ac:dyDescent="0.25">
      <c r="A12173" t="s">
        <v>708</v>
      </c>
      <c r="B12173" t="s">
        <v>281</v>
      </c>
      <c r="C12173" s="5" t="str">
        <f t="shared" si="504"/>
        <v xml:space="preserve"> кв. 274</v>
      </c>
      <c r="D12173" s="5" t="str">
        <f>CONCATENATE(A12173,C12173)</f>
        <v>Смольная ул., дом 67 к.3 кв. 274</v>
      </c>
      <c r="E12173" s="3">
        <f>HYPERLINK("https://sao.dolgi.msk.ru/account/1404221576/", 1404221576)</f>
        <v>1404221576</v>
      </c>
      <c r="F12173">
        <v>1306.32</v>
      </c>
    </row>
    <row r="12174" spans="1:6" x14ac:dyDescent="0.25">
      <c r="A12174" t="s">
        <v>708</v>
      </c>
      <c r="B12174" t="s">
        <v>282</v>
      </c>
      <c r="C12174" s="5" t="str">
        <f t="shared" si="504"/>
        <v xml:space="preserve"> кв. 275</v>
      </c>
      <c r="D12174" s="5" t="str">
        <f>CONCATENATE(A12174,C12174)</f>
        <v>Смольная ул., дом 67 к.3 кв. 275</v>
      </c>
      <c r="E12174" s="3">
        <f>HYPERLINK("https://sao.dolgi.msk.ru/account/1404222165/", 1404222165)</f>
        <v>1404222165</v>
      </c>
      <c r="F12174">
        <v>1647.92</v>
      </c>
    </row>
    <row r="12175" spans="1:6" hidden="1" x14ac:dyDescent="0.25">
      <c r="A12175" t="s">
        <v>708</v>
      </c>
      <c r="B12175" t="s">
        <v>283</v>
      </c>
      <c r="E12175" s="3">
        <f>HYPERLINK("https://sao.dolgi.msk.ru/account/1404222173/", 1404222173)</f>
        <v>1404222173</v>
      </c>
      <c r="F12175">
        <v>-1650.09</v>
      </c>
    </row>
    <row r="12176" spans="1:6" hidden="1" x14ac:dyDescent="0.25">
      <c r="A12176" t="s">
        <v>708</v>
      </c>
      <c r="B12176" t="s">
        <v>284</v>
      </c>
      <c r="E12176" s="3">
        <f>HYPERLINK("https://sao.dolgi.msk.ru/account/1404222579/", 1404222579)</f>
        <v>1404222579</v>
      </c>
      <c r="F12176">
        <v>0</v>
      </c>
    </row>
    <row r="12177" spans="1:6" hidden="1" x14ac:dyDescent="0.25">
      <c r="A12177" t="s">
        <v>708</v>
      </c>
      <c r="B12177" t="s">
        <v>285</v>
      </c>
      <c r="E12177" s="3">
        <f>HYPERLINK("https://sao.dolgi.msk.ru/account/1404222835/", 1404222835)</f>
        <v>1404222835</v>
      </c>
      <c r="F12177">
        <v>-1979.2</v>
      </c>
    </row>
    <row r="12178" spans="1:6" hidden="1" x14ac:dyDescent="0.25">
      <c r="A12178" t="s">
        <v>708</v>
      </c>
      <c r="B12178" t="s">
        <v>286</v>
      </c>
      <c r="E12178" s="3">
        <f>HYPERLINK("https://sao.dolgi.msk.ru/account/1404221648/", 1404221648)</f>
        <v>1404221648</v>
      </c>
      <c r="F12178">
        <v>-2408.1</v>
      </c>
    </row>
    <row r="12179" spans="1:6" hidden="1" x14ac:dyDescent="0.25">
      <c r="A12179" t="s">
        <v>708</v>
      </c>
      <c r="B12179" t="s">
        <v>287</v>
      </c>
      <c r="E12179" s="3">
        <f>HYPERLINK("https://sao.dolgi.msk.ru/account/1404221656/", 1404221656)</f>
        <v>1404221656</v>
      </c>
      <c r="F12179">
        <v>-2412.73</v>
      </c>
    </row>
    <row r="12180" spans="1:6" hidden="1" x14ac:dyDescent="0.25">
      <c r="A12180" t="s">
        <v>708</v>
      </c>
      <c r="B12180" t="s">
        <v>288</v>
      </c>
      <c r="E12180" s="3">
        <f>HYPERLINK("https://sao.dolgi.msk.ru/account/1404222843/", 1404222843)</f>
        <v>1404222843</v>
      </c>
      <c r="F12180">
        <v>-2347.21</v>
      </c>
    </row>
    <row r="12181" spans="1:6" x14ac:dyDescent="0.25">
      <c r="A12181" t="s">
        <v>708</v>
      </c>
      <c r="B12181" t="s">
        <v>289</v>
      </c>
      <c r="C12181" s="5" t="str">
        <f>" кв. "&amp;B12181</f>
        <v xml:space="preserve"> кв. 282</v>
      </c>
      <c r="D12181" s="5" t="str">
        <f>CONCATENATE(A12181,C12181)</f>
        <v>Смольная ул., дом 67 к.3 кв. 282</v>
      </c>
      <c r="E12181" s="3">
        <f>HYPERLINK("https://sao.dolgi.msk.ru/account/1404221816/", 1404221816)</f>
        <v>1404221816</v>
      </c>
      <c r="F12181">
        <v>1299.99</v>
      </c>
    </row>
    <row r="12182" spans="1:6" hidden="1" x14ac:dyDescent="0.25">
      <c r="A12182" t="s">
        <v>708</v>
      </c>
      <c r="B12182" t="s">
        <v>290</v>
      </c>
      <c r="E12182" s="3">
        <f>HYPERLINK("https://sao.dolgi.msk.ru/account/1404222472/", 1404222472)</f>
        <v>1404222472</v>
      </c>
      <c r="F12182">
        <v>-380.82</v>
      </c>
    </row>
    <row r="12183" spans="1:6" hidden="1" x14ac:dyDescent="0.25">
      <c r="A12183" t="s">
        <v>708</v>
      </c>
      <c r="B12183" t="s">
        <v>291</v>
      </c>
      <c r="E12183" s="3">
        <f>HYPERLINK("https://sao.dolgi.msk.ru/account/1404222077/", 1404222077)</f>
        <v>1404222077</v>
      </c>
      <c r="F12183">
        <v>-2417.35</v>
      </c>
    </row>
    <row r="12184" spans="1:6" hidden="1" x14ac:dyDescent="0.25">
      <c r="A12184" t="s">
        <v>708</v>
      </c>
      <c r="B12184" t="s">
        <v>292</v>
      </c>
      <c r="E12184" s="3">
        <f>HYPERLINK("https://sao.dolgi.msk.ru/account/1404222499/", 1404222499)</f>
        <v>1404222499</v>
      </c>
      <c r="F12184">
        <v>-2800.98</v>
      </c>
    </row>
    <row r="12185" spans="1:6" hidden="1" x14ac:dyDescent="0.25">
      <c r="A12185" t="s">
        <v>708</v>
      </c>
      <c r="B12185" t="s">
        <v>293</v>
      </c>
      <c r="E12185" s="3">
        <f>HYPERLINK("https://sao.dolgi.msk.ru/account/1404222851/", 1404222851)</f>
        <v>1404222851</v>
      </c>
      <c r="F12185">
        <v>0</v>
      </c>
    </row>
    <row r="12186" spans="1:6" hidden="1" x14ac:dyDescent="0.25">
      <c r="A12186" t="s">
        <v>708</v>
      </c>
      <c r="B12186" t="s">
        <v>294</v>
      </c>
      <c r="E12186" s="3">
        <f>HYPERLINK("https://sao.dolgi.msk.ru/account/1404221955/", 1404221955)</f>
        <v>1404221955</v>
      </c>
      <c r="F12186">
        <v>-1349.49</v>
      </c>
    </row>
    <row r="12187" spans="1:6" hidden="1" x14ac:dyDescent="0.25">
      <c r="A12187" t="s">
        <v>708</v>
      </c>
      <c r="B12187" t="s">
        <v>295</v>
      </c>
      <c r="E12187" s="3">
        <f>HYPERLINK("https://sao.dolgi.msk.ru/account/1404222878/", 1404222878)</f>
        <v>1404222878</v>
      </c>
      <c r="F12187">
        <v>-2417.35</v>
      </c>
    </row>
    <row r="12188" spans="1:6" hidden="1" x14ac:dyDescent="0.25">
      <c r="A12188" t="s">
        <v>708</v>
      </c>
      <c r="B12188" t="s">
        <v>296</v>
      </c>
      <c r="E12188" s="3">
        <f>HYPERLINK("https://sao.dolgi.msk.ru/account/1404222501/", 1404222501)</f>
        <v>1404222501</v>
      </c>
      <c r="F12188">
        <v>0</v>
      </c>
    </row>
    <row r="12189" spans="1:6" hidden="1" x14ac:dyDescent="0.25">
      <c r="A12189" t="s">
        <v>708</v>
      </c>
      <c r="B12189" t="s">
        <v>297</v>
      </c>
      <c r="E12189" s="3">
        <f>HYPERLINK("https://sao.dolgi.msk.ru/account/1404222325/", 1404222325)</f>
        <v>1404222325</v>
      </c>
      <c r="F12189">
        <v>-1910.94</v>
      </c>
    </row>
    <row r="12190" spans="1:6" hidden="1" x14ac:dyDescent="0.25">
      <c r="A12190" t="s">
        <v>708</v>
      </c>
      <c r="B12190" t="s">
        <v>298</v>
      </c>
      <c r="E12190" s="3">
        <f>HYPERLINK("https://sao.dolgi.msk.ru/account/1404221664/", 1404221664)</f>
        <v>1404221664</v>
      </c>
      <c r="F12190">
        <v>-2176.62</v>
      </c>
    </row>
    <row r="12191" spans="1:6" x14ac:dyDescent="0.25">
      <c r="A12191" t="s">
        <v>708</v>
      </c>
      <c r="B12191" t="s">
        <v>299</v>
      </c>
      <c r="C12191" s="5" t="str">
        <f>" кв. "&amp;B12191</f>
        <v xml:space="preserve"> кв. 292</v>
      </c>
      <c r="D12191" s="5" t="str">
        <f>CONCATENATE(A12191,C12191)</f>
        <v>Смольная ул., дом 67 к.3 кв. 292</v>
      </c>
      <c r="E12191" s="3">
        <f>HYPERLINK("https://sao.dolgi.msk.ru/account/1404222712/", 1404222712)</f>
        <v>1404222712</v>
      </c>
      <c r="F12191">
        <v>1647.92</v>
      </c>
    </row>
    <row r="12192" spans="1:6" hidden="1" x14ac:dyDescent="0.25">
      <c r="A12192" t="s">
        <v>708</v>
      </c>
      <c r="B12192" t="s">
        <v>300</v>
      </c>
      <c r="E12192" s="3">
        <f>HYPERLINK("https://sao.dolgi.msk.ru/account/1404221963/", 1404221963)</f>
        <v>1404221963</v>
      </c>
      <c r="F12192">
        <v>-2800.98</v>
      </c>
    </row>
    <row r="12193" spans="1:6" hidden="1" x14ac:dyDescent="0.25">
      <c r="A12193" t="s">
        <v>709</v>
      </c>
      <c r="B12193" t="s">
        <v>5</v>
      </c>
      <c r="E12193" s="3">
        <f>HYPERLINK("https://sao.dolgi.msk.ru/account/1404206421/", 1404206421)</f>
        <v>1404206421</v>
      </c>
      <c r="F12193">
        <v>-2351.09</v>
      </c>
    </row>
    <row r="12194" spans="1:6" x14ac:dyDescent="0.25">
      <c r="A12194" t="s">
        <v>709</v>
      </c>
      <c r="B12194" t="s">
        <v>6</v>
      </c>
      <c r="C12194" s="5" t="str">
        <f>" кв. "&amp;B12194</f>
        <v xml:space="preserve"> кв. 2</v>
      </c>
      <c r="D12194" s="5" t="str">
        <f>CONCATENATE(A12194,C12194)</f>
        <v>Смольная ул., дом 73 кв. 2</v>
      </c>
      <c r="E12194" s="3">
        <f>HYPERLINK("https://sao.dolgi.msk.ru/account/1404205963/", 1404205963)</f>
        <v>1404205963</v>
      </c>
      <c r="F12194">
        <v>1053.28</v>
      </c>
    </row>
    <row r="12195" spans="1:6" hidden="1" x14ac:dyDescent="0.25">
      <c r="A12195" t="s">
        <v>709</v>
      </c>
      <c r="B12195" t="s">
        <v>7</v>
      </c>
      <c r="E12195" s="3">
        <f>HYPERLINK("https://sao.dolgi.msk.ru/account/1404205971/", 1404205971)</f>
        <v>1404205971</v>
      </c>
      <c r="F12195">
        <v>-2075.31</v>
      </c>
    </row>
    <row r="12196" spans="1:6" hidden="1" x14ac:dyDescent="0.25">
      <c r="A12196" t="s">
        <v>709</v>
      </c>
      <c r="B12196" t="s">
        <v>8</v>
      </c>
      <c r="E12196" s="3">
        <f>HYPERLINK("https://sao.dolgi.msk.ru/account/1404206317/", 1404206317)</f>
        <v>1404206317</v>
      </c>
      <c r="F12196">
        <v>-1386.62</v>
      </c>
    </row>
    <row r="12197" spans="1:6" hidden="1" x14ac:dyDescent="0.25">
      <c r="A12197" t="s">
        <v>709</v>
      </c>
      <c r="B12197" t="s">
        <v>9</v>
      </c>
      <c r="E12197" s="3">
        <f>HYPERLINK("https://sao.dolgi.msk.ru/account/1404206501/", 1404206501)</f>
        <v>1404206501</v>
      </c>
      <c r="F12197">
        <v>-2791.73</v>
      </c>
    </row>
    <row r="12198" spans="1:6" hidden="1" x14ac:dyDescent="0.25">
      <c r="A12198" t="s">
        <v>709</v>
      </c>
      <c r="B12198" t="s">
        <v>10</v>
      </c>
      <c r="E12198" s="3">
        <f>HYPERLINK("https://sao.dolgi.msk.ru/account/1404205912/", 1404205912)</f>
        <v>1404205912</v>
      </c>
      <c r="F12198">
        <v>-1296.2</v>
      </c>
    </row>
    <row r="12199" spans="1:6" hidden="1" x14ac:dyDescent="0.25">
      <c r="A12199" t="s">
        <v>709</v>
      </c>
      <c r="B12199" t="s">
        <v>11</v>
      </c>
      <c r="E12199" s="3">
        <f>HYPERLINK("https://sao.dolgi.msk.ru/account/1404205621/", 1404205621)</f>
        <v>1404205621</v>
      </c>
      <c r="F12199">
        <v>-1170.3399999999999</v>
      </c>
    </row>
    <row r="12200" spans="1:6" hidden="1" x14ac:dyDescent="0.25">
      <c r="A12200" t="s">
        <v>709</v>
      </c>
      <c r="B12200" t="s">
        <v>12</v>
      </c>
      <c r="E12200" s="3">
        <f>HYPERLINK("https://sao.dolgi.msk.ru/account/1404206034/", 1404206034)</f>
        <v>1404206034</v>
      </c>
      <c r="F12200">
        <v>-1868.27</v>
      </c>
    </row>
    <row r="12201" spans="1:6" hidden="1" x14ac:dyDescent="0.25">
      <c r="A12201" t="s">
        <v>709</v>
      </c>
      <c r="B12201" t="s">
        <v>13</v>
      </c>
      <c r="E12201" s="3">
        <f>HYPERLINK("https://sao.dolgi.msk.ru/account/1404205875/", 1404205875)</f>
        <v>1404205875</v>
      </c>
      <c r="F12201">
        <v>-1395.86</v>
      </c>
    </row>
    <row r="12202" spans="1:6" hidden="1" x14ac:dyDescent="0.25">
      <c r="A12202" t="s">
        <v>709</v>
      </c>
      <c r="B12202" t="s">
        <v>14</v>
      </c>
      <c r="E12202" s="3">
        <f>HYPERLINK("https://sao.dolgi.msk.ru/account/1404206755/", 1404206755)</f>
        <v>1404206755</v>
      </c>
      <c r="F12202">
        <v>-1296.2</v>
      </c>
    </row>
    <row r="12203" spans="1:6" hidden="1" x14ac:dyDescent="0.25">
      <c r="A12203" t="s">
        <v>709</v>
      </c>
      <c r="B12203" t="s">
        <v>15</v>
      </c>
      <c r="E12203" s="3">
        <f>HYPERLINK("https://sao.dolgi.msk.ru/account/1404206392/", 1404206392)</f>
        <v>1404206392</v>
      </c>
      <c r="F12203">
        <v>-2075.31</v>
      </c>
    </row>
    <row r="12204" spans="1:6" hidden="1" x14ac:dyDescent="0.25">
      <c r="A12204" t="s">
        <v>709</v>
      </c>
      <c r="B12204" t="s">
        <v>16</v>
      </c>
      <c r="E12204" s="3">
        <f>HYPERLINK("https://sao.dolgi.msk.ru/account/1404205752/", 1404205752)</f>
        <v>1404205752</v>
      </c>
      <c r="F12204">
        <v>-2773.24</v>
      </c>
    </row>
    <row r="12205" spans="1:6" hidden="1" x14ac:dyDescent="0.25">
      <c r="A12205" t="s">
        <v>709</v>
      </c>
      <c r="B12205" t="s">
        <v>17</v>
      </c>
      <c r="E12205" s="3">
        <f>HYPERLINK("https://sao.dolgi.msk.ru/account/1404206771/", 1404206771)</f>
        <v>1404206771</v>
      </c>
      <c r="F12205">
        <v>-1395.86</v>
      </c>
    </row>
    <row r="12206" spans="1:6" x14ac:dyDescent="0.25">
      <c r="A12206" t="s">
        <v>709</v>
      </c>
      <c r="B12206" t="s">
        <v>18</v>
      </c>
      <c r="C12206" s="5" t="str">
        <f>" кв. "&amp;B12206</f>
        <v xml:space="preserve"> кв. 14</v>
      </c>
      <c r="D12206" s="5" t="str">
        <f>CONCATENATE(A12206,C12206)</f>
        <v>Смольная ул., дом 73 кв. 14</v>
      </c>
      <c r="E12206" s="3">
        <f>HYPERLINK("https://sao.dolgi.msk.ru/account/1404206798/", 1404206798)</f>
        <v>1404206798</v>
      </c>
      <c r="F12206">
        <v>1053.28</v>
      </c>
    </row>
    <row r="12207" spans="1:6" hidden="1" x14ac:dyDescent="0.25">
      <c r="A12207" t="s">
        <v>709</v>
      </c>
      <c r="B12207" t="s">
        <v>19</v>
      </c>
      <c r="E12207" s="3">
        <f>HYPERLINK("https://sao.dolgi.msk.ru/account/1404205656/", 1404205656)</f>
        <v>1404205656</v>
      </c>
      <c r="F12207">
        <v>-2075.31</v>
      </c>
    </row>
    <row r="12208" spans="1:6" hidden="1" x14ac:dyDescent="0.25">
      <c r="A12208" t="s">
        <v>709</v>
      </c>
      <c r="B12208" t="s">
        <v>20</v>
      </c>
      <c r="E12208" s="3">
        <f>HYPERLINK("https://sao.dolgi.msk.ru/account/1404206405/", 1404206405)</f>
        <v>1404206405</v>
      </c>
      <c r="F12208">
        <v>-1386.62</v>
      </c>
    </row>
    <row r="12209" spans="1:6" hidden="1" x14ac:dyDescent="0.25">
      <c r="A12209" t="s">
        <v>709</v>
      </c>
      <c r="B12209" t="s">
        <v>20</v>
      </c>
      <c r="E12209" s="3">
        <f>HYPERLINK("https://sao.dolgi.msk.ru/account/1404206843/", 1404206843)</f>
        <v>1404206843</v>
      </c>
      <c r="F12209">
        <v>-693.31</v>
      </c>
    </row>
    <row r="12210" spans="1:6" hidden="1" x14ac:dyDescent="0.25">
      <c r="A12210" t="s">
        <v>709</v>
      </c>
      <c r="B12210" t="s">
        <v>21</v>
      </c>
      <c r="E12210" s="3">
        <f>HYPERLINK("https://sao.dolgi.msk.ru/account/1404206819/", 1404206819)</f>
        <v>1404206819</v>
      </c>
      <c r="F12210">
        <v>-1739.06</v>
      </c>
    </row>
    <row r="12211" spans="1:6" x14ac:dyDescent="0.25">
      <c r="A12211" t="s">
        <v>709</v>
      </c>
      <c r="B12211" t="s">
        <v>22</v>
      </c>
      <c r="C12211" s="5" t="str">
        <f>" кв. "&amp;B12211</f>
        <v xml:space="preserve"> кв. 18</v>
      </c>
      <c r="D12211" s="5" t="str">
        <f>CONCATENATE(A12211,C12211)</f>
        <v>Смольная ул., дом 73 кв. 18</v>
      </c>
      <c r="E12211" s="3">
        <f>HYPERLINK("https://sao.dolgi.msk.ru/account/1404205664/", 1404205664)</f>
        <v>1404205664</v>
      </c>
      <c r="F12211">
        <v>1053.28</v>
      </c>
    </row>
    <row r="12212" spans="1:6" hidden="1" x14ac:dyDescent="0.25">
      <c r="A12212" t="s">
        <v>709</v>
      </c>
      <c r="B12212" t="s">
        <v>23</v>
      </c>
      <c r="E12212" s="3">
        <f>HYPERLINK("https://sao.dolgi.msk.ru/account/1404206675/", 1404206675)</f>
        <v>1404206675</v>
      </c>
      <c r="F12212">
        <v>-1763.32</v>
      </c>
    </row>
    <row r="12213" spans="1:6" x14ac:dyDescent="0.25">
      <c r="A12213" t="s">
        <v>709</v>
      </c>
      <c r="B12213" t="s">
        <v>24</v>
      </c>
      <c r="C12213" s="5" t="str">
        <f>" кв. "&amp;B12213</f>
        <v xml:space="preserve"> кв. 20</v>
      </c>
      <c r="D12213" s="5" t="str">
        <f>CONCATENATE(A12213,C12213)</f>
        <v>Смольная ул., дом 73 кв. 20</v>
      </c>
      <c r="E12213" s="3">
        <f>HYPERLINK("https://sao.dolgi.msk.ru/account/1404205787/", 1404205787)</f>
        <v>1404205787</v>
      </c>
      <c r="F12213">
        <v>1885.15</v>
      </c>
    </row>
    <row r="12214" spans="1:6" hidden="1" x14ac:dyDescent="0.25">
      <c r="A12214" t="s">
        <v>709</v>
      </c>
      <c r="B12214" t="s">
        <v>25</v>
      </c>
      <c r="E12214" s="3">
        <f>HYPERLINK("https://sao.dolgi.msk.ru/account/1404205605/", 1404205605)</f>
        <v>1404205605</v>
      </c>
      <c r="F12214">
        <v>0</v>
      </c>
    </row>
    <row r="12215" spans="1:6" hidden="1" x14ac:dyDescent="0.25">
      <c r="A12215" t="s">
        <v>709</v>
      </c>
      <c r="B12215" t="s">
        <v>26</v>
      </c>
      <c r="E12215" s="3">
        <f>HYPERLINK("https://sao.dolgi.msk.ru/account/1404206165/", 1404206165)</f>
        <v>1404206165</v>
      </c>
      <c r="F12215">
        <v>-1296.2</v>
      </c>
    </row>
    <row r="12216" spans="1:6" hidden="1" x14ac:dyDescent="0.25">
      <c r="A12216" t="s">
        <v>709</v>
      </c>
      <c r="B12216" t="s">
        <v>27</v>
      </c>
      <c r="E12216" s="3">
        <f>HYPERLINK("https://sao.dolgi.msk.ru/account/1404205613/", 1404205613)</f>
        <v>1404205613</v>
      </c>
      <c r="F12216">
        <v>-2093.8000000000002</v>
      </c>
    </row>
    <row r="12217" spans="1:6" x14ac:dyDescent="0.25">
      <c r="A12217" t="s">
        <v>709</v>
      </c>
      <c r="B12217" t="s">
        <v>28</v>
      </c>
      <c r="C12217" s="5" t="str">
        <f>" кв. "&amp;B12217</f>
        <v xml:space="preserve"> кв. 24</v>
      </c>
      <c r="D12217" s="5" t="str">
        <f>CONCATENATE(A12217,C12217)</f>
        <v>Смольная ул., дом 73 кв. 24</v>
      </c>
      <c r="E12217" s="3">
        <f>HYPERLINK("https://sao.dolgi.msk.ru/account/1404206173/", 1404206173)</f>
        <v>1404206173</v>
      </c>
      <c r="F12217">
        <v>1885.15</v>
      </c>
    </row>
    <row r="12218" spans="1:6" hidden="1" x14ac:dyDescent="0.25">
      <c r="A12218" t="s">
        <v>709</v>
      </c>
      <c r="B12218" t="s">
        <v>29</v>
      </c>
      <c r="E12218" s="3">
        <f>HYPERLINK("https://sao.dolgi.msk.ru/account/1404206683/", 1404206683)</f>
        <v>1404206683</v>
      </c>
      <c r="F12218">
        <v>-2782.49</v>
      </c>
    </row>
    <row r="12219" spans="1:6" hidden="1" x14ac:dyDescent="0.25">
      <c r="A12219" t="s">
        <v>709</v>
      </c>
      <c r="B12219" t="s">
        <v>30</v>
      </c>
      <c r="E12219" s="3">
        <f>HYPERLINK("https://sao.dolgi.msk.ru/account/1404205795/", 1404205795)</f>
        <v>1404205795</v>
      </c>
      <c r="F12219">
        <v>-1478.41</v>
      </c>
    </row>
    <row r="12220" spans="1:6" x14ac:dyDescent="0.25">
      <c r="A12220" t="s">
        <v>709</v>
      </c>
      <c r="B12220" t="s">
        <v>31</v>
      </c>
      <c r="C12220" s="5" t="str">
        <f>" кв. "&amp;B12220</f>
        <v xml:space="preserve"> кв. 27</v>
      </c>
      <c r="D12220" s="5" t="str">
        <f>CONCATENATE(A12220,C12220)</f>
        <v>Смольная ул., дом 73 кв. 27</v>
      </c>
      <c r="E12220" s="3">
        <f>HYPERLINK("https://sao.dolgi.msk.ru/account/1404205533/", 1404205533)</f>
        <v>1404205533</v>
      </c>
      <c r="F12220">
        <v>1432.84</v>
      </c>
    </row>
    <row r="12221" spans="1:6" hidden="1" x14ac:dyDescent="0.25">
      <c r="A12221" t="s">
        <v>709</v>
      </c>
      <c r="B12221" t="s">
        <v>32</v>
      </c>
      <c r="E12221" s="3">
        <f>HYPERLINK("https://sao.dolgi.msk.ru/account/1404206341/", 1404206341)</f>
        <v>1404206341</v>
      </c>
      <c r="F12221">
        <v>-2754.75</v>
      </c>
    </row>
    <row r="12222" spans="1:6" hidden="1" x14ac:dyDescent="0.25">
      <c r="A12222" t="s">
        <v>709</v>
      </c>
      <c r="B12222" t="s">
        <v>33</v>
      </c>
      <c r="E12222" s="3">
        <f>HYPERLINK("https://sao.dolgi.msk.ru/account/1404206691/", 1404206691)</f>
        <v>1404206691</v>
      </c>
      <c r="F12222">
        <v>-2782.49</v>
      </c>
    </row>
    <row r="12223" spans="1:6" x14ac:dyDescent="0.25">
      <c r="A12223" t="s">
        <v>709</v>
      </c>
      <c r="B12223" t="s">
        <v>34</v>
      </c>
      <c r="C12223" s="5" t="str">
        <f>" кв. "&amp;B12223</f>
        <v xml:space="preserve"> кв. 30</v>
      </c>
      <c r="D12223" s="5" t="str">
        <f>CONCATENATE(A12223,C12223)</f>
        <v>Смольная ул., дом 73 кв. 30</v>
      </c>
      <c r="E12223" s="3">
        <f>HYPERLINK("https://sao.dolgi.msk.ru/account/1404205998/", 1404205998)</f>
        <v>1404205998</v>
      </c>
      <c r="F12223">
        <v>1053.28</v>
      </c>
    </row>
    <row r="12224" spans="1:6" hidden="1" x14ac:dyDescent="0.25">
      <c r="A12224" t="s">
        <v>709</v>
      </c>
      <c r="B12224" t="s">
        <v>35</v>
      </c>
      <c r="E12224" s="3">
        <f>HYPERLINK("https://sao.dolgi.msk.ru/account/1404206018/", 1404206018)</f>
        <v>1404206018</v>
      </c>
      <c r="F12224">
        <v>-2093.8000000000002</v>
      </c>
    </row>
    <row r="12225" spans="1:6" x14ac:dyDescent="0.25">
      <c r="A12225" t="s">
        <v>709</v>
      </c>
      <c r="B12225" t="s">
        <v>36</v>
      </c>
      <c r="C12225" s="5" t="str">
        <f>" кв. "&amp;B12225</f>
        <v xml:space="preserve"> кв. 32</v>
      </c>
      <c r="D12225" s="5" t="str">
        <f>CONCATENATE(A12225,C12225)</f>
        <v>Смольная ул., дом 73 кв. 32</v>
      </c>
      <c r="E12225" s="3">
        <f>HYPERLINK("https://sao.dolgi.msk.ru/account/1404205541/", 1404205541)</f>
        <v>1404205541</v>
      </c>
      <c r="F12225">
        <v>622.1</v>
      </c>
    </row>
    <row r="12226" spans="1:6" hidden="1" x14ac:dyDescent="0.25">
      <c r="A12226" t="s">
        <v>709</v>
      </c>
      <c r="B12226" t="s">
        <v>36</v>
      </c>
      <c r="E12226" s="3">
        <f>HYPERLINK("https://sao.dolgi.msk.ru/account/1404205808/", 1404205808)</f>
        <v>1404205808</v>
      </c>
      <c r="F12226">
        <v>0</v>
      </c>
    </row>
    <row r="12227" spans="1:6" x14ac:dyDescent="0.25">
      <c r="A12227" t="s">
        <v>709</v>
      </c>
      <c r="B12227" t="s">
        <v>36</v>
      </c>
      <c r="C12227" s="5" t="str">
        <f t="shared" ref="C12227:C12229" si="505">" кв. "&amp;B12227</f>
        <v xml:space="preserve"> кв. 32</v>
      </c>
      <c r="D12227" s="5" t="str">
        <f>CONCATENATE(A12227,C12227)</f>
        <v>Смольная ул., дом 73 кв. 32</v>
      </c>
      <c r="E12227" s="3">
        <f>HYPERLINK("https://sao.dolgi.msk.ru/account/1404205904/", 1404205904)</f>
        <v>1404205904</v>
      </c>
      <c r="F12227">
        <v>640.95000000000005</v>
      </c>
    </row>
    <row r="12228" spans="1:6" x14ac:dyDescent="0.25">
      <c r="A12228" t="s">
        <v>709</v>
      </c>
      <c r="B12228" t="s">
        <v>37</v>
      </c>
      <c r="C12228" s="5" t="str">
        <f t="shared" si="505"/>
        <v xml:space="preserve"> кв. 33</v>
      </c>
      <c r="D12228" s="5" t="str">
        <f>CONCATENATE(A12228,C12228)</f>
        <v>Смольная ул., дом 73 кв. 33</v>
      </c>
      <c r="E12228" s="3">
        <f>HYPERLINK("https://sao.dolgi.msk.ru/account/1404205816/", 1404205816)</f>
        <v>1404205816</v>
      </c>
      <c r="F12228">
        <v>1216.3499999999999</v>
      </c>
    </row>
    <row r="12229" spans="1:6" x14ac:dyDescent="0.25">
      <c r="A12229" t="s">
        <v>709</v>
      </c>
      <c r="B12229" t="s">
        <v>38</v>
      </c>
      <c r="C12229" s="5" t="str">
        <f t="shared" si="505"/>
        <v xml:space="preserve"> кв. 34</v>
      </c>
      <c r="D12229" s="5" t="str">
        <f>CONCATENATE(A12229,C12229)</f>
        <v>Смольная ул., дом 73 кв. 34</v>
      </c>
      <c r="E12229" s="3">
        <f>HYPERLINK("https://sao.dolgi.msk.ru/account/1404206181/", 1404206181)</f>
        <v>1404206181</v>
      </c>
      <c r="F12229">
        <v>993.75</v>
      </c>
    </row>
    <row r="12230" spans="1:6" hidden="1" x14ac:dyDescent="0.25">
      <c r="A12230" t="s">
        <v>709</v>
      </c>
      <c r="B12230" t="s">
        <v>39</v>
      </c>
      <c r="E12230" s="3">
        <f>HYPERLINK("https://sao.dolgi.msk.ru/account/1404206528/", 1404206528)</f>
        <v>1404206528</v>
      </c>
      <c r="F12230">
        <v>-928.66</v>
      </c>
    </row>
    <row r="12231" spans="1:6" x14ac:dyDescent="0.25">
      <c r="A12231" t="s">
        <v>709</v>
      </c>
      <c r="B12231" t="s">
        <v>40</v>
      </c>
      <c r="C12231" s="5" t="str">
        <f>" кв. "&amp;B12231</f>
        <v xml:space="preserve"> кв. 36</v>
      </c>
      <c r="D12231" s="5" t="str">
        <f>CONCATENATE(A12231,C12231)</f>
        <v>Смольная ул., дом 73 кв. 36</v>
      </c>
      <c r="E12231" s="3">
        <f>HYPERLINK("https://sao.dolgi.msk.ru/account/1404206122/", 1404206122)</f>
        <v>1404206122</v>
      </c>
      <c r="F12231">
        <v>1592.65</v>
      </c>
    </row>
    <row r="12232" spans="1:6" hidden="1" x14ac:dyDescent="0.25">
      <c r="A12232" t="s">
        <v>709</v>
      </c>
      <c r="B12232" t="s">
        <v>41</v>
      </c>
      <c r="E12232" s="3">
        <f>HYPERLINK("https://sao.dolgi.msk.ru/account/1404206464/", 1404206464)</f>
        <v>1404206464</v>
      </c>
      <c r="F12232">
        <v>-1663.5</v>
      </c>
    </row>
    <row r="12233" spans="1:6" hidden="1" x14ac:dyDescent="0.25">
      <c r="A12233" t="s">
        <v>709</v>
      </c>
      <c r="B12233" t="s">
        <v>42</v>
      </c>
      <c r="E12233" s="3">
        <f>HYPERLINK("https://sao.dolgi.msk.ru/account/1404206309/", 1404206309)</f>
        <v>1404206309</v>
      </c>
      <c r="F12233">
        <v>-1599.24</v>
      </c>
    </row>
    <row r="12234" spans="1:6" x14ac:dyDescent="0.25">
      <c r="A12234" t="s">
        <v>709</v>
      </c>
      <c r="B12234" t="s">
        <v>43</v>
      </c>
      <c r="C12234" s="5" t="str">
        <f>" кв. "&amp;B12234</f>
        <v xml:space="preserve"> кв. 39</v>
      </c>
      <c r="D12234" s="5" t="str">
        <f>CONCATENATE(A12234,C12234)</f>
        <v>Смольная ул., дом 73 кв. 39</v>
      </c>
      <c r="E12234" s="3">
        <f>HYPERLINK("https://sao.dolgi.msk.ru/account/1404205701/", 1404205701)</f>
        <v>1404205701</v>
      </c>
      <c r="F12234">
        <v>1426.51</v>
      </c>
    </row>
    <row r="12235" spans="1:6" hidden="1" x14ac:dyDescent="0.25">
      <c r="A12235" t="s">
        <v>709</v>
      </c>
      <c r="B12235" t="s">
        <v>44</v>
      </c>
      <c r="E12235" s="3">
        <f>HYPERLINK("https://sao.dolgi.msk.ru/account/1404205939/", 1404205939)</f>
        <v>1404205939</v>
      </c>
      <c r="F12235">
        <v>-1857.96</v>
      </c>
    </row>
    <row r="12236" spans="1:6" hidden="1" x14ac:dyDescent="0.25">
      <c r="A12236" t="s">
        <v>709</v>
      </c>
      <c r="B12236" t="s">
        <v>45</v>
      </c>
      <c r="E12236" s="3">
        <f>HYPERLINK("https://sao.dolgi.msk.ru/account/1404205728/", 1404205728)</f>
        <v>1404205728</v>
      </c>
      <c r="F12236">
        <v>-2123.94</v>
      </c>
    </row>
    <row r="12237" spans="1:6" hidden="1" x14ac:dyDescent="0.25">
      <c r="A12237" t="s">
        <v>709</v>
      </c>
      <c r="B12237" t="s">
        <v>46</v>
      </c>
      <c r="E12237" s="3">
        <f>HYPERLINK("https://sao.dolgi.msk.ru/account/1404206472/", 1404206472)</f>
        <v>1404206472</v>
      </c>
      <c r="F12237">
        <v>-1599.24</v>
      </c>
    </row>
    <row r="12238" spans="1:6" hidden="1" x14ac:dyDescent="0.25">
      <c r="A12238" t="s">
        <v>709</v>
      </c>
      <c r="B12238" t="s">
        <v>47</v>
      </c>
      <c r="E12238" s="3">
        <f>HYPERLINK("https://sao.dolgi.msk.ru/account/1404206149/", 1404206149)</f>
        <v>1404206149</v>
      </c>
      <c r="F12238">
        <v>-2084.5500000000002</v>
      </c>
    </row>
    <row r="12239" spans="1:6" hidden="1" x14ac:dyDescent="0.25">
      <c r="A12239" t="s">
        <v>709</v>
      </c>
      <c r="B12239" t="s">
        <v>48</v>
      </c>
      <c r="E12239" s="3">
        <f>HYPERLINK("https://sao.dolgi.msk.ru/account/1404205947/", 1404205947)</f>
        <v>1404205947</v>
      </c>
      <c r="F12239">
        <v>0</v>
      </c>
    </row>
    <row r="12240" spans="1:6" x14ac:dyDescent="0.25">
      <c r="A12240" t="s">
        <v>709</v>
      </c>
      <c r="B12240" t="s">
        <v>49</v>
      </c>
      <c r="C12240" s="5" t="str">
        <f>" кв. "&amp;B12240</f>
        <v xml:space="preserve"> кв. 45</v>
      </c>
      <c r="D12240" s="5" t="str">
        <f>CONCATENATE(A12240,C12240)</f>
        <v>Смольная ул., дом 73 кв. 45</v>
      </c>
      <c r="E12240" s="3">
        <f>HYPERLINK("https://sao.dolgi.msk.ru/account/1404206499/", 1404206499)</f>
        <v>1404206499</v>
      </c>
      <c r="F12240">
        <v>1369.57</v>
      </c>
    </row>
    <row r="12241" spans="1:6" hidden="1" x14ac:dyDescent="0.25">
      <c r="A12241" t="s">
        <v>709</v>
      </c>
      <c r="B12241" t="s">
        <v>50</v>
      </c>
      <c r="E12241" s="3">
        <f>HYPERLINK("https://sao.dolgi.msk.ru/account/1404206325/", 1404206325)</f>
        <v>1404206325</v>
      </c>
      <c r="F12241">
        <v>-1599.24</v>
      </c>
    </row>
    <row r="12242" spans="1:6" hidden="1" x14ac:dyDescent="0.25">
      <c r="A12242" t="s">
        <v>709</v>
      </c>
      <c r="B12242" t="s">
        <v>51</v>
      </c>
      <c r="E12242" s="3">
        <f>HYPERLINK("https://sao.dolgi.msk.ru/account/1404206659/", 1404206659)</f>
        <v>1404206659</v>
      </c>
      <c r="F12242">
        <v>-1179.58</v>
      </c>
    </row>
    <row r="12243" spans="1:6" x14ac:dyDescent="0.25">
      <c r="A12243" t="s">
        <v>709</v>
      </c>
      <c r="B12243" t="s">
        <v>52</v>
      </c>
      <c r="C12243" s="5" t="str">
        <f>" кв. "&amp;B12243</f>
        <v xml:space="preserve"> кв. 48</v>
      </c>
      <c r="D12243" s="5" t="str">
        <f>CONCATENATE(A12243,C12243)</f>
        <v>Смольная ул., дом 73 кв. 48</v>
      </c>
      <c r="E12243" s="3">
        <f>HYPERLINK("https://sao.dolgi.msk.ru/account/1404206157/", 1404206157)</f>
        <v>1404206157</v>
      </c>
      <c r="F12243">
        <v>1894.64</v>
      </c>
    </row>
    <row r="12244" spans="1:6" hidden="1" x14ac:dyDescent="0.25">
      <c r="A12244" t="s">
        <v>709</v>
      </c>
      <c r="B12244" t="s">
        <v>53</v>
      </c>
      <c r="E12244" s="3">
        <f>HYPERLINK("https://sao.dolgi.msk.ru/account/1404205955/", 1404205955)</f>
        <v>1404205955</v>
      </c>
      <c r="F12244">
        <v>-2763.99</v>
      </c>
    </row>
    <row r="12245" spans="1:6" hidden="1" x14ac:dyDescent="0.25">
      <c r="A12245" t="s">
        <v>709</v>
      </c>
      <c r="B12245" t="s">
        <v>54</v>
      </c>
      <c r="E12245" s="3">
        <f>HYPERLINK("https://sao.dolgi.msk.ru/account/1404205509/", 1404205509)</f>
        <v>1404205509</v>
      </c>
      <c r="F12245">
        <v>-1599.24</v>
      </c>
    </row>
    <row r="12246" spans="1:6" hidden="1" x14ac:dyDescent="0.25">
      <c r="A12246" t="s">
        <v>709</v>
      </c>
      <c r="B12246" t="s">
        <v>55</v>
      </c>
      <c r="E12246" s="3">
        <f>HYPERLINK("https://sao.dolgi.msk.ru/account/1404205736/", 1404205736)</f>
        <v>1404205736</v>
      </c>
      <c r="F12246">
        <v>-329.02</v>
      </c>
    </row>
    <row r="12247" spans="1:6" hidden="1" x14ac:dyDescent="0.25">
      <c r="A12247" t="s">
        <v>709</v>
      </c>
      <c r="B12247" t="s">
        <v>56</v>
      </c>
      <c r="E12247" s="3">
        <f>HYPERLINK("https://sao.dolgi.msk.ru/account/1404206616/", 1404206616)</f>
        <v>1404206616</v>
      </c>
      <c r="F12247">
        <v>-2768.62</v>
      </c>
    </row>
    <row r="12248" spans="1:6" hidden="1" x14ac:dyDescent="0.25">
      <c r="A12248" t="s">
        <v>709</v>
      </c>
      <c r="B12248" t="s">
        <v>57</v>
      </c>
      <c r="E12248" s="3">
        <f>HYPERLINK("https://sao.dolgi.msk.ru/account/1404206333/", 1404206333)</f>
        <v>1404206333</v>
      </c>
      <c r="F12248">
        <v>0</v>
      </c>
    </row>
    <row r="12249" spans="1:6" x14ac:dyDescent="0.25">
      <c r="A12249" t="s">
        <v>709</v>
      </c>
      <c r="B12249" t="s">
        <v>58</v>
      </c>
      <c r="C12249" s="5" t="str">
        <f>" кв. "&amp;B12249</f>
        <v xml:space="preserve"> кв. 54</v>
      </c>
      <c r="D12249" s="5" t="str">
        <f>CONCATENATE(A12249,C12249)</f>
        <v>Смольная ул., дом 73 кв. 54</v>
      </c>
      <c r="E12249" s="3">
        <f>HYPERLINK("https://sao.dolgi.msk.ru/account/1404206667/", 1404206667)</f>
        <v>1404206667</v>
      </c>
      <c r="F12249">
        <v>1100.72</v>
      </c>
    </row>
    <row r="12250" spans="1:6" hidden="1" x14ac:dyDescent="0.25">
      <c r="A12250" t="s">
        <v>709</v>
      </c>
      <c r="B12250" t="s">
        <v>59</v>
      </c>
      <c r="E12250" s="3">
        <f>HYPERLINK("https://sao.dolgi.msk.ru/account/1404206851/", 1404206851)</f>
        <v>1404206851</v>
      </c>
      <c r="F12250">
        <v>-2089.1799999999998</v>
      </c>
    </row>
    <row r="12251" spans="1:6" hidden="1" x14ac:dyDescent="0.25">
      <c r="A12251" t="s">
        <v>709</v>
      </c>
      <c r="B12251" t="s">
        <v>60</v>
      </c>
      <c r="E12251" s="3">
        <f>HYPERLINK("https://sao.dolgi.msk.ru/account/1404206448/", 1404206448)</f>
        <v>1404206448</v>
      </c>
      <c r="F12251">
        <v>0</v>
      </c>
    </row>
    <row r="12252" spans="1:6" hidden="1" x14ac:dyDescent="0.25">
      <c r="A12252" t="s">
        <v>709</v>
      </c>
      <c r="B12252" t="s">
        <v>61</v>
      </c>
      <c r="E12252" s="3">
        <f>HYPERLINK("https://sao.dolgi.msk.ru/account/1404205699/", 1404205699)</f>
        <v>1404205699</v>
      </c>
      <c r="F12252">
        <v>-1854.4</v>
      </c>
    </row>
    <row r="12253" spans="1:6" hidden="1" x14ac:dyDescent="0.25">
      <c r="A12253" t="s">
        <v>709</v>
      </c>
      <c r="B12253" t="s">
        <v>62</v>
      </c>
      <c r="E12253" s="3">
        <f>HYPERLINK("https://sao.dolgi.msk.ru/account/1404206456/", 1404206456)</f>
        <v>1404206456</v>
      </c>
      <c r="F12253">
        <v>-1608.48</v>
      </c>
    </row>
    <row r="12254" spans="1:6" hidden="1" x14ac:dyDescent="0.25">
      <c r="A12254" t="s">
        <v>709</v>
      </c>
      <c r="B12254" t="s">
        <v>63</v>
      </c>
      <c r="E12254" s="3">
        <f>HYPERLINK("https://sao.dolgi.msk.ru/account/1404206624/", 1404206624)</f>
        <v>1404206624</v>
      </c>
      <c r="F12254">
        <v>-1326.54</v>
      </c>
    </row>
    <row r="12255" spans="1:6" hidden="1" x14ac:dyDescent="0.25">
      <c r="A12255" t="s">
        <v>709</v>
      </c>
      <c r="B12255" t="s">
        <v>64</v>
      </c>
      <c r="E12255" s="3">
        <f>HYPERLINK("https://sao.dolgi.msk.ru/account/1404206632/", 1404206632)</f>
        <v>1404206632</v>
      </c>
      <c r="F12255">
        <v>-1664.62</v>
      </c>
    </row>
    <row r="12256" spans="1:6" hidden="1" x14ac:dyDescent="0.25">
      <c r="A12256" t="s">
        <v>709</v>
      </c>
      <c r="B12256" t="s">
        <v>65</v>
      </c>
      <c r="E12256" s="3">
        <f>HYPERLINK("https://sao.dolgi.msk.ru/account/1404205517/", 1404205517)</f>
        <v>1404205517</v>
      </c>
      <c r="F12256">
        <v>-689.86</v>
      </c>
    </row>
    <row r="12257" spans="1:6" hidden="1" x14ac:dyDescent="0.25">
      <c r="A12257" t="s">
        <v>709</v>
      </c>
      <c r="B12257" t="s">
        <v>65</v>
      </c>
      <c r="E12257" s="3">
        <f>HYPERLINK("https://sao.dolgi.msk.ru/account/1404205744/", 1404205744)</f>
        <v>1404205744</v>
      </c>
      <c r="F12257">
        <v>-1379.7</v>
      </c>
    </row>
    <row r="12258" spans="1:6" x14ac:dyDescent="0.25">
      <c r="A12258" t="s">
        <v>709</v>
      </c>
      <c r="B12258" t="s">
        <v>66</v>
      </c>
      <c r="C12258" s="5" t="str">
        <f>" кв. "&amp;B12258</f>
        <v xml:space="preserve"> кв. 62</v>
      </c>
      <c r="D12258" s="5" t="str">
        <f>CONCATENATE(A12258,C12258)</f>
        <v>Смольная ул., дом 73 кв. 62</v>
      </c>
      <c r="E12258" s="3">
        <f>HYPERLINK("https://sao.dolgi.msk.ru/account/1404205779/", 1404205779)</f>
        <v>1404205779</v>
      </c>
      <c r="F12258">
        <v>578.82000000000005</v>
      </c>
    </row>
    <row r="12259" spans="1:6" hidden="1" x14ac:dyDescent="0.25">
      <c r="A12259" t="s">
        <v>709</v>
      </c>
      <c r="B12259" t="s">
        <v>67</v>
      </c>
      <c r="E12259" s="3">
        <f>HYPERLINK("https://sao.dolgi.msk.ru/account/1404205525/", 1404205525)</f>
        <v>1404205525</v>
      </c>
      <c r="F12259">
        <v>-1326.54</v>
      </c>
    </row>
    <row r="12260" spans="1:6" hidden="1" x14ac:dyDescent="0.25">
      <c r="A12260" t="s">
        <v>709</v>
      </c>
      <c r="B12260" t="s">
        <v>68</v>
      </c>
      <c r="E12260" s="3">
        <f>HYPERLINK("https://sao.dolgi.msk.ru/account/1404206536/", 1404206536)</f>
        <v>1404206536</v>
      </c>
      <c r="F12260">
        <v>-1728.11</v>
      </c>
    </row>
    <row r="12261" spans="1:6" hidden="1" x14ac:dyDescent="0.25">
      <c r="A12261" t="s">
        <v>709</v>
      </c>
      <c r="B12261" t="s">
        <v>69</v>
      </c>
      <c r="E12261" s="3">
        <f>HYPERLINK("https://sao.dolgi.msk.ru/account/1404205824/", 1404205824)</f>
        <v>1404205824</v>
      </c>
      <c r="F12261">
        <v>-2759.37</v>
      </c>
    </row>
    <row r="12262" spans="1:6" hidden="1" x14ac:dyDescent="0.25">
      <c r="A12262" t="s">
        <v>709</v>
      </c>
      <c r="B12262" t="s">
        <v>70</v>
      </c>
      <c r="E12262" s="3">
        <f>HYPERLINK("https://sao.dolgi.msk.ru/account/1404206026/", 1404206026)</f>
        <v>1404206026</v>
      </c>
      <c r="F12262">
        <v>-1354.6</v>
      </c>
    </row>
    <row r="12263" spans="1:6" hidden="1" x14ac:dyDescent="0.25">
      <c r="A12263" t="s">
        <v>709</v>
      </c>
      <c r="B12263" t="s">
        <v>71</v>
      </c>
      <c r="E12263" s="3">
        <f>HYPERLINK("https://sao.dolgi.msk.ru/account/1404206544/", 1404206544)</f>
        <v>1404206544</v>
      </c>
      <c r="F12263">
        <v>0</v>
      </c>
    </row>
    <row r="12264" spans="1:6" x14ac:dyDescent="0.25">
      <c r="A12264" t="s">
        <v>709</v>
      </c>
      <c r="B12264" t="s">
        <v>72</v>
      </c>
      <c r="C12264" s="5" t="str">
        <f>" кв. "&amp;B12264</f>
        <v xml:space="preserve"> кв. 68</v>
      </c>
      <c r="D12264" s="5" t="str">
        <f>CONCATENATE(A12264,C12264)</f>
        <v>Смольная ул., дом 73 кв. 68</v>
      </c>
      <c r="E12264" s="3">
        <f>HYPERLINK("https://sao.dolgi.msk.ru/account/1404206368/", 1404206368)</f>
        <v>1404206368</v>
      </c>
      <c r="F12264">
        <v>944.15</v>
      </c>
    </row>
    <row r="12265" spans="1:6" hidden="1" x14ac:dyDescent="0.25">
      <c r="A12265" t="s">
        <v>709</v>
      </c>
      <c r="B12265" t="s">
        <v>73</v>
      </c>
      <c r="E12265" s="3">
        <f>HYPERLINK("https://sao.dolgi.msk.ru/account/1404205832/", 1404205832)</f>
        <v>1404205832</v>
      </c>
      <c r="F12265">
        <v>0</v>
      </c>
    </row>
    <row r="12266" spans="1:6" hidden="1" x14ac:dyDescent="0.25">
      <c r="A12266" t="s">
        <v>709</v>
      </c>
      <c r="B12266" t="s">
        <v>73</v>
      </c>
      <c r="E12266" s="3">
        <f>HYPERLINK("https://sao.dolgi.msk.ru/account/1404206202/", 1404206202)</f>
        <v>1404206202</v>
      </c>
      <c r="F12266">
        <v>0</v>
      </c>
    </row>
    <row r="12267" spans="1:6" hidden="1" x14ac:dyDescent="0.25">
      <c r="A12267" t="s">
        <v>709</v>
      </c>
      <c r="B12267" t="s">
        <v>74</v>
      </c>
      <c r="E12267" s="3">
        <f>HYPERLINK("https://sao.dolgi.msk.ru/account/1404206552/", 1404206552)</f>
        <v>1404206552</v>
      </c>
      <c r="F12267">
        <v>-1442.29</v>
      </c>
    </row>
    <row r="12268" spans="1:6" hidden="1" x14ac:dyDescent="0.25">
      <c r="A12268" t="s">
        <v>709</v>
      </c>
      <c r="B12268" t="s">
        <v>75</v>
      </c>
      <c r="E12268" s="3">
        <f>HYPERLINK("https://sao.dolgi.msk.ru/account/1404206229/", 1404206229)</f>
        <v>1404206229</v>
      </c>
      <c r="F12268">
        <v>-1816.2</v>
      </c>
    </row>
    <row r="12269" spans="1:6" x14ac:dyDescent="0.25">
      <c r="A12269" t="s">
        <v>709</v>
      </c>
      <c r="B12269" t="s">
        <v>76</v>
      </c>
      <c r="C12269" s="5" t="str">
        <f t="shared" ref="C12269:C12271" si="506">" кв. "&amp;B12269</f>
        <v xml:space="preserve"> кв. 72</v>
      </c>
      <c r="D12269" s="5" t="str">
        <f>CONCATENATE(A12269,C12269)</f>
        <v>Смольная ул., дом 73 кв. 72</v>
      </c>
      <c r="E12269" s="3">
        <f>HYPERLINK("https://sao.dolgi.msk.ru/account/1404205859/", 1404205859)</f>
        <v>1404205859</v>
      </c>
      <c r="F12269">
        <v>406.24</v>
      </c>
    </row>
    <row r="12270" spans="1:6" x14ac:dyDescent="0.25">
      <c r="A12270" t="s">
        <v>709</v>
      </c>
      <c r="B12270" t="s">
        <v>76</v>
      </c>
      <c r="C12270" s="5" t="str">
        <f t="shared" si="506"/>
        <v xml:space="preserve"> кв. 72</v>
      </c>
      <c r="D12270" s="5" t="str">
        <f>CONCATENATE(A12270,C12270)</f>
        <v>Смольная ул., дом 73 кв. 72</v>
      </c>
      <c r="E12270" s="3">
        <f>HYPERLINK("https://sao.dolgi.msk.ru/account/1404206114/", 1404206114)</f>
        <v>1404206114</v>
      </c>
      <c r="F12270">
        <v>668.86</v>
      </c>
    </row>
    <row r="12271" spans="1:6" x14ac:dyDescent="0.25">
      <c r="A12271" t="s">
        <v>709</v>
      </c>
      <c r="B12271" t="s">
        <v>76</v>
      </c>
      <c r="C12271" s="5" t="str">
        <f t="shared" si="506"/>
        <v xml:space="preserve"> кв. 72</v>
      </c>
      <c r="D12271" s="5" t="str">
        <f>CONCATENATE(A12271,C12271)</f>
        <v>Смольная ул., дом 73 кв. 72</v>
      </c>
      <c r="E12271" s="3">
        <f>HYPERLINK("https://sao.dolgi.msk.ru/account/1404206237/", 1404206237)</f>
        <v>1404206237</v>
      </c>
      <c r="F12271">
        <v>533.45000000000005</v>
      </c>
    </row>
    <row r="12272" spans="1:6" hidden="1" x14ac:dyDescent="0.25">
      <c r="A12272" t="s">
        <v>709</v>
      </c>
      <c r="B12272" t="s">
        <v>77</v>
      </c>
      <c r="E12272" s="3">
        <f>HYPERLINK("https://sao.dolgi.msk.ru/account/1404206376/", 1404206376)</f>
        <v>1404206376</v>
      </c>
      <c r="F12272">
        <v>-2339.42</v>
      </c>
    </row>
    <row r="12273" spans="1:6" hidden="1" x14ac:dyDescent="0.25">
      <c r="A12273" t="s">
        <v>709</v>
      </c>
      <c r="B12273" t="s">
        <v>78</v>
      </c>
      <c r="E12273" s="3">
        <f>HYPERLINK("https://sao.dolgi.msk.ru/account/1404206579/", 1404206579)</f>
        <v>1404206579</v>
      </c>
      <c r="F12273">
        <v>-1599.24</v>
      </c>
    </row>
    <row r="12274" spans="1:6" hidden="1" x14ac:dyDescent="0.25">
      <c r="A12274" t="s">
        <v>709</v>
      </c>
      <c r="B12274" t="s">
        <v>79</v>
      </c>
      <c r="E12274" s="3">
        <f>HYPERLINK("https://sao.dolgi.msk.ru/account/1404206384/", 1404206384)</f>
        <v>1404206384</v>
      </c>
      <c r="F12274">
        <v>0</v>
      </c>
    </row>
    <row r="12275" spans="1:6" hidden="1" x14ac:dyDescent="0.25">
      <c r="A12275" t="s">
        <v>709</v>
      </c>
      <c r="B12275" t="s">
        <v>79</v>
      </c>
      <c r="E12275" s="3">
        <f>HYPERLINK("https://sao.dolgi.msk.ru/account/1404206704/", 1404206704)</f>
        <v>1404206704</v>
      </c>
      <c r="F12275">
        <v>0</v>
      </c>
    </row>
    <row r="12276" spans="1:6" hidden="1" x14ac:dyDescent="0.25">
      <c r="A12276" t="s">
        <v>709</v>
      </c>
      <c r="B12276" t="s">
        <v>80</v>
      </c>
      <c r="E12276" s="3">
        <f>HYPERLINK("https://sao.dolgi.msk.ru/account/1404205592/", 1404205592)</f>
        <v>1404205592</v>
      </c>
      <c r="F12276">
        <v>-2104.1999999999998</v>
      </c>
    </row>
    <row r="12277" spans="1:6" hidden="1" x14ac:dyDescent="0.25">
      <c r="A12277" t="s">
        <v>709</v>
      </c>
      <c r="B12277" t="s">
        <v>80</v>
      </c>
      <c r="E12277" s="3">
        <f>HYPERLINK("https://sao.dolgi.msk.ru/account/1404205867/", 1404205867)</f>
        <v>1404205867</v>
      </c>
      <c r="F12277">
        <v>-701.41</v>
      </c>
    </row>
    <row r="12278" spans="1:6" x14ac:dyDescent="0.25">
      <c r="A12278" t="s">
        <v>709</v>
      </c>
      <c r="B12278" t="s">
        <v>81</v>
      </c>
      <c r="C12278" s="5" t="str">
        <f>" кв. "&amp;B12278</f>
        <v xml:space="preserve"> кв. 77</v>
      </c>
      <c r="D12278" s="5" t="str">
        <f>CONCATENATE(A12278,C12278)</f>
        <v>Смольная ул., дом 73 кв. 77</v>
      </c>
      <c r="E12278" s="3">
        <f>HYPERLINK("https://sao.dolgi.msk.ru/account/1404206712/", 1404206712)</f>
        <v>1404206712</v>
      </c>
      <c r="F12278">
        <v>1900.96</v>
      </c>
    </row>
    <row r="12279" spans="1:6" hidden="1" x14ac:dyDescent="0.25">
      <c r="A12279" t="s">
        <v>709</v>
      </c>
      <c r="B12279" t="s">
        <v>82</v>
      </c>
      <c r="E12279" s="3">
        <f>HYPERLINK("https://sao.dolgi.msk.ru/account/1404205648/", 1404205648)</f>
        <v>1404205648</v>
      </c>
      <c r="F12279">
        <v>0</v>
      </c>
    </row>
    <row r="12280" spans="1:6" hidden="1" x14ac:dyDescent="0.25">
      <c r="A12280" t="s">
        <v>709</v>
      </c>
      <c r="B12280" t="s">
        <v>83</v>
      </c>
      <c r="E12280" s="3">
        <f>HYPERLINK("https://sao.dolgi.msk.ru/account/1404206739/", 1404206739)</f>
        <v>1404206739</v>
      </c>
      <c r="F12280">
        <v>0</v>
      </c>
    </row>
    <row r="12281" spans="1:6" hidden="1" x14ac:dyDescent="0.25">
      <c r="A12281" t="s">
        <v>709</v>
      </c>
      <c r="B12281" t="s">
        <v>84</v>
      </c>
      <c r="E12281" s="3">
        <f>HYPERLINK("https://sao.dolgi.msk.ru/account/1404206245/", 1404206245)</f>
        <v>1404206245</v>
      </c>
      <c r="F12281">
        <v>-2104.19</v>
      </c>
    </row>
    <row r="12282" spans="1:6" hidden="1" x14ac:dyDescent="0.25">
      <c r="A12282" t="s">
        <v>709</v>
      </c>
      <c r="B12282" t="s">
        <v>85</v>
      </c>
      <c r="E12282" s="3">
        <f>HYPERLINK("https://sao.dolgi.msk.ru/account/1404206747/", 1404206747)</f>
        <v>1404206747</v>
      </c>
      <c r="F12282">
        <v>0</v>
      </c>
    </row>
    <row r="12283" spans="1:6" hidden="1" x14ac:dyDescent="0.25">
      <c r="A12283" t="s">
        <v>709</v>
      </c>
      <c r="B12283" t="s">
        <v>86</v>
      </c>
      <c r="E12283" s="3">
        <f>HYPERLINK("https://sao.dolgi.msk.ru/account/1404206042/", 1404206042)</f>
        <v>1404206042</v>
      </c>
      <c r="F12283">
        <v>-1599.24</v>
      </c>
    </row>
    <row r="12284" spans="1:6" x14ac:dyDescent="0.25">
      <c r="A12284" t="s">
        <v>709</v>
      </c>
      <c r="B12284" t="s">
        <v>87</v>
      </c>
      <c r="C12284" s="5" t="str">
        <f>" кв. "&amp;B12284</f>
        <v xml:space="preserve"> кв. 83</v>
      </c>
      <c r="D12284" s="5" t="str">
        <f>CONCATENATE(A12284,C12284)</f>
        <v>Смольная ул., дом 73 кв. 83</v>
      </c>
      <c r="E12284" s="3">
        <f>HYPERLINK("https://sao.dolgi.msk.ru/account/1404206587/", 1404206587)</f>
        <v>1404206587</v>
      </c>
      <c r="F12284">
        <v>1394.88</v>
      </c>
    </row>
    <row r="12285" spans="1:6" hidden="1" x14ac:dyDescent="0.25">
      <c r="A12285" t="s">
        <v>709</v>
      </c>
      <c r="B12285" t="s">
        <v>88</v>
      </c>
      <c r="E12285" s="3">
        <f>HYPERLINK("https://sao.dolgi.msk.ru/account/1404206253/", 1404206253)</f>
        <v>1404206253</v>
      </c>
      <c r="F12285">
        <v>0</v>
      </c>
    </row>
    <row r="12286" spans="1:6" hidden="1" x14ac:dyDescent="0.25">
      <c r="A12286" t="s">
        <v>709</v>
      </c>
      <c r="B12286" t="s">
        <v>89</v>
      </c>
      <c r="E12286" s="3">
        <f>HYPERLINK("https://sao.dolgi.msk.ru/account/1404206827/", 1404206827)</f>
        <v>1404206827</v>
      </c>
      <c r="F12286">
        <v>-1675.19</v>
      </c>
    </row>
    <row r="12287" spans="1:6" hidden="1" x14ac:dyDescent="0.25">
      <c r="A12287" t="s">
        <v>709</v>
      </c>
      <c r="B12287" t="s">
        <v>90</v>
      </c>
      <c r="E12287" s="3">
        <f>HYPERLINK("https://sao.dolgi.msk.ru/account/1404205672/", 1404205672)</f>
        <v>1404205672</v>
      </c>
      <c r="F12287">
        <v>-1599.24</v>
      </c>
    </row>
    <row r="12288" spans="1:6" hidden="1" x14ac:dyDescent="0.25">
      <c r="A12288" t="s">
        <v>709</v>
      </c>
      <c r="B12288" t="s">
        <v>91</v>
      </c>
      <c r="E12288" s="3">
        <f>HYPERLINK("https://sao.dolgi.msk.ru/account/1404206085/", 1404206085)</f>
        <v>1404206085</v>
      </c>
      <c r="F12288">
        <v>0</v>
      </c>
    </row>
    <row r="12289" spans="1:6" hidden="1" x14ac:dyDescent="0.25">
      <c r="A12289" t="s">
        <v>709</v>
      </c>
      <c r="B12289" t="s">
        <v>92</v>
      </c>
      <c r="E12289" s="3">
        <f>HYPERLINK("https://sao.dolgi.msk.ru/account/1404206413/", 1404206413)</f>
        <v>1404206413</v>
      </c>
      <c r="F12289">
        <v>0</v>
      </c>
    </row>
    <row r="12290" spans="1:6" hidden="1" x14ac:dyDescent="0.25">
      <c r="A12290" t="s">
        <v>709</v>
      </c>
      <c r="B12290" t="s">
        <v>93</v>
      </c>
      <c r="E12290" s="3">
        <f>HYPERLINK("https://sao.dolgi.msk.ru/account/1404206093/", 1404206093)</f>
        <v>1404206093</v>
      </c>
      <c r="F12290">
        <v>-1384.3</v>
      </c>
    </row>
    <row r="12291" spans="1:6" hidden="1" x14ac:dyDescent="0.25">
      <c r="A12291" t="s">
        <v>709</v>
      </c>
      <c r="B12291" t="s">
        <v>94</v>
      </c>
      <c r="E12291" s="3">
        <f>HYPERLINK("https://sao.dolgi.msk.ru/account/1404206608/", 1404206608)</f>
        <v>1404206608</v>
      </c>
      <c r="F12291">
        <v>-1603.86</v>
      </c>
    </row>
    <row r="12292" spans="1:6" hidden="1" x14ac:dyDescent="0.25">
      <c r="A12292" t="s">
        <v>709</v>
      </c>
      <c r="B12292" t="s">
        <v>95</v>
      </c>
      <c r="E12292" s="3">
        <f>HYPERLINK("https://sao.dolgi.msk.ru/account/1404205568/", 1404205568)</f>
        <v>1404205568</v>
      </c>
      <c r="F12292">
        <v>0</v>
      </c>
    </row>
    <row r="12293" spans="1:6" hidden="1" x14ac:dyDescent="0.25">
      <c r="A12293" t="s">
        <v>709</v>
      </c>
      <c r="B12293" t="s">
        <v>96</v>
      </c>
      <c r="E12293" s="3">
        <f>HYPERLINK("https://sao.dolgi.msk.ru/account/1404206106/", 1404206106)</f>
        <v>1404206106</v>
      </c>
      <c r="F12293">
        <v>0</v>
      </c>
    </row>
    <row r="12294" spans="1:6" hidden="1" x14ac:dyDescent="0.25">
      <c r="A12294" t="s">
        <v>709</v>
      </c>
      <c r="B12294" t="s">
        <v>97</v>
      </c>
      <c r="E12294" s="3">
        <f>HYPERLINK("https://sao.dolgi.msk.ru/account/1404205576/", 1404205576)</f>
        <v>1404205576</v>
      </c>
      <c r="F12294">
        <v>0</v>
      </c>
    </row>
    <row r="12295" spans="1:6" hidden="1" x14ac:dyDescent="0.25">
      <c r="A12295" t="s">
        <v>709</v>
      </c>
      <c r="B12295" t="s">
        <v>98</v>
      </c>
      <c r="E12295" s="3">
        <f>HYPERLINK("https://sao.dolgi.msk.ru/account/1404206835/", 1404206835)</f>
        <v>1404206835</v>
      </c>
      <c r="F12295">
        <v>-1603.86</v>
      </c>
    </row>
    <row r="12296" spans="1:6" x14ac:dyDescent="0.25">
      <c r="A12296" t="s">
        <v>709</v>
      </c>
      <c r="B12296" t="s">
        <v>99</v>
      </c>
      <c r="C12296" s="5" t="str">
        <f>" кв. "&amp;B12296</f>
        <v xml:space="preserve"> кв. 95</v>
      </c>
      <c r="D12296" s="5" t="str">
        <f>CONCATENATE(A12296,C12296)</f>
        <v>Смольная ул., дом 73 кв. 95</v>
      </c>
      <c r="E12296" s="3">
        <f>HYPERLINK("https://sao.dolgi.msk.ru/account/1404206261/", 1404206261)</f>
        <v>1404206261</v>
      </c>
      <c r="F12296">
        <v>1385.39</v>
      </c>
    </row>
    <row r="12297" spans="1:6" hidden="1" x14ac:dyDescent="0.25">
      <c r="A12297" t="s">
        <v>709</v>
      </c>
      <c r="B12297" t="s">
        <v>100</v>
      </c>
      <c r="E12297" s="3">
        <f>HYPERLINK("https://sao.dolgi.msk.ru/account/1404205883/", 1404205883)</f>
        <v>1404205883</v>
      </c>
      <c r="F12297">
        <v>-1891.39</v>
      </c>
    </row>
    <row r="12298" spans="1:6" hidden="1" x14ac:dyDescent="0.25">
      <c r="A12298" t="s">
        <v>709</v>
      </c>
      <c r="B12298" t="s">
        <v>101</v>
      </c>
      <c r="E12298" s="3">
        <f>HYPERLINK("https://sao.dolgi.msk.ru/account/1404206288/", 1404206288)</f>
        <v>1404206288</v>
      </c>
      <c r="F12298">
        <v>-2768.62</v>
      </c>
    </row>
    <row r="12299" spans="1:6" hidden="1" x14ac:dyDescent="0.25">
      <c r="A12299" t="s">
        <v>709</v>
      </c>
      <c r="B12299" t="s">
        <v>102</v>
      </c>
      <c r="E12299" s="3">
        <f>HYPERLINK("https://sao.dolgi.msk.ru/account/1404205891/", 1404205891)</f>
        <v>1404205891</v>
      </c>
      <c r="F12299">
        <v>0</v>
      </c>
    </row>
    <row r="12300" spans="1:6" hidden="1" x14ac:dyDescent="0.25">
      <c r="A12300" t="s">
        <v>709</v>
      </c>
      <c r="B12300" t="s">
        <v>103</v>
      </c>
      <c r="E12300" s="3">
        <f>HYPERLINK("https://sao.dolgi.msk.ru/account/1404205584/", 1404205584)</f>
        <v>1404205584</v>
      </c>
      <c r="F12300">
        <v>-1040.7</v>
      </c>
    </row>
    <row r="12301" spans="1:6" hidden="1" x14ac:dyDescent="0.25">
      <c r="A12301" t="s">
        <v>709</v>
      </c>
      <c r="B12301" t="s">
        <v>104</v>
      </c>
      <c r="E12301" s="3">
        <f>HYPERLINK("https://sao.dolgi.msk.ru/account/1404206763/", 1404206763)</f>
        <v>1404206763</v>
      </c>
      <c r="F12301">
        <v>-1891.39</v>
      </c>
    </row>
    <row r="12302" spans="1:6" hidden="1" x14ac:dyDescent="0.25">
      <c r="A12302" t="s">
        <v>709</v>
      </c>
      <c r="B12302" t="s">
        <v>105</v>
      </c>
      <c r="E12302" s="3">
        <f>HYPERLINK("https://sao.dolgi.msk.ru/account/1404206595/", 1404206595)</f>
        <v>1404206595</v>
      </c>
      <c r="F12302">
        <v>-1667.39</v>
      </c>
    </row>
    <row r="12303" spans="1:6" hidden="1" x14ac:dyDescent="0.25">
      <c r="A12303" t="s">
        <v>709</v>
      </c>
      <c r="B12303" t="s">
        <v>106</v>
      </c>
      <c r="E12303" s="3">
        <f>HYPERLINK("https://sao.dolgi.msk.ru/account/1404206069/", 1404206069)</f>
        <v>1404206069</v>
      </c>
      <c r="F12303">
        <v>-841.22</v>
      </c>
    </row>
    <row r="12304" spans="1:6" hidden="1" x14ac:dyDescent="0.25">
      <c r="A12304" t="s">
        <v>709</v>
      </c>
      <c r="B12304" t="s">
        <v>107</v>
      </c>
      <c r="E12304" s="3">
        <f>HYPERLINK("https://sao.dolgi.msk.ru/account/1404206077/", 1404206077)</f>
        <v>1404206077</v>
      </c>
      <c r="F12304">
        <v>-1119.5</v>
      </c>
    </row>
    <row r="12305" spans="1:6" hidden="1" x14ac:dyDescent="0.25">
      <c r="A12305" t="s">
        <v>709</v>
      </c>
      <c r="B12305" t="s">
        <v>108</v>
      </c>
      <c r="E12305" s="3">
        <f>HYPERLINK("https://sao.dolgi.msk.ru/account/1404206296/", 1404206296)</f>
        <v>1404206296</v>
      </c>
      <c r="F12305">
        <v>-2355</v>
      </c>
    </row>
    <row r="12306" spans="1:6" hidden="1" x14ac:dyDescent="0.25">
      <c r="A12306" t="s">
        <v>710</v>
      </c>
      <c r="B12306" t="s">
        <v>7</v>
      </c>
      <c r="E12306" s="3">
        <f>HYPERLINK("https://sao.dolgi.msk.ru/account/1404137665/", 1404137665)</f>
        <v>1404137665</v>
      </c>
      <c r="F12306">
        <v>-5194.1400000000003</v>
      </c>
    </row>
    <row r="12307" spans="1:6" hidden="1" x14ac:dyDescent="0.25">
      <c r="A12307" t="s">
        <v>710</v>
      </c>
      <c r="B12307" t="s">
        <v>8</v>
      </c>
      <c r="E12307" s="3">
        <f>HYPERLINK("https://sao.dolgi.msk.ru/account/1404138123/", 1404138123)</f>
        <v>1404138123</v>
      </c>
      <c r="F12307">
        <v>0</v>
      </c>
    </row>
    <row r="12308" spans="1:6" hidden="1" x14ac:dyDescent="0.25">
      <c r="A12308" t="s">
        <v>710</v>
      </c>
      <c r="B12308" t="s">
        <v>9</v>
      </c>
      <c r="E12308" s="3">
        <f>HYPERLINK("https://sao.dolgi.msk.ru/account/1404138828/", 1404138828)</f>
        <v>1404138828</v>
      </c>
      <c r="F12308">
        <v>-1219.45</v>
      </c>
    </row>
    <row r="12309" spans="1:6" hidden="1" x14ac:dyDescent="0.25">
      <c r="A12309" t="s">
        <v>710</v>
      </c>
      <c r="B12309" t="s">
        <v>10</v>
      </c>
      <c r="E12309" s="3">
        <f>HYPERLINK("https://sao.dolgi.msk.ru/account/1404137956/", 1404137956)</f>
        <v>1404137956</v>
      </c>
      <c r="F12309">
        <v>0</v>
      </c>
    </row>
    <row r="12310" spans="1:6" hidden="1" x14ac:dyDescent="0.25">
      <c r="A12310" t="s">
        <v>710</v>
      </c>
      <c r="B12310" t="s">
        <v>11</v>
      </c>
      <c r="E12310" s="3">
        <f>HYPERLINK("https://sao.dolgi.msk.ru/account/1404137796/", 1404137796)</f>
        <v>1404137796</v>
      </c>
      <c r="F12310">
        <v>-364.34</v>
      </c>
    </row>
    <row r="12311" spans="1:6" hidden="1" x14ac:dyDescent="0.25">
      <c r="A12311" t="s">
        <v>710</v>
      </c>
      <c r="B12311" t="s">
        <v>12</v>
      </c>
      <c r="E12311" s="3">
        <f>HYPERLINK("https://sao.dolgi.msk.ru/account/1404137964/", 1404137964)</f>
        <v>1404137964</v>
      </c>
      <c r="F12311">
        <v>-3370.67</v>
      </c>
    </row>
    <row r="12312" spans="1:6" x14ac:dyDescent="0.25">
      <c r="A12312" t="s">
        <v>710</v>
      </c>
      <c r="B12312" t="s">
        <v>13</v>
      </c>
      <c r="C12312" s="5" t="str">
        <f>" кв. "&amp;B12312</f>
        <v xml:space="preserve"> кв. 9</v>
      </c>
      <c r="D12312" s="5" t="str">
        <f>CONCATENATE(A12312,C12312)</f>
        <v>Фестивальная ул., дом 3 кв. 9</v>
      </c>
      <c r="E12312" s="3">
        <f>HYPERLINK("https://sao.dolgi.msk.ru/account/1404138633/", 1404138633)</f>
        <v>1404138633</v>
      </c>
      <c r="F12312">
        <v>137866.99</v>
      </c>
    </row>
    <row r="12313" spans="1:6" hidden="1" x14ac:dyDescent="0.25">
      <c r="A12313" t="s">
        <v>710</v>
      </c>
      <c r="B12313" t="s">
        <v>14</v>
      </c>
      <c r="E12313" s="3">
        <f>HYPERLINK("https://sao.dolgi.msk.ru/account/1404137331/", 1404137331)</f>
        <v>1404137331</v>
      </c>
      <c r="F12313">
        <v>-2621.08</v>
      </c>
    </row>
    <row r="12314" spans="1:6" hidden="1" x14ac:dyDescent="0.25">
      <c r="A12314" t="s">
        <v>710</v>
      </c>
      <c r="B12314" t="s">
        <v>15</v>
      </c>
      <c r="E12314" s="3">
        <f>HYPERLINK("https://sao.dolgi.msk.ru/account/1404137606/", 1404137606)</f>
        <v>1404137606</v>
      </c>
      <c r="F12314">
        <v>-5039.79</v>
      </c>
    </row>
    <row r="12315" spans="1:6" hidden="1" x14ac:dyDescent="0.25">
      <c r="A12315" t="s">
        <v>710</v>
      </c>
      <c r="B12315" t="s">
        <v>16</v>
      </c>
      <c r="E12315" s="3">
        <f>HYPERLINK("https://sao.dolgi.msk.ru/account/1404137868/", 1404137868)</f>
        <v>1404137868</v>
      </c>
      <c r="F12315">
        <v>0</v>
      </c>
    </row>
    <row r="12316" spans="1:6" hidden="1" x14ac:dyDescent="0.25">
      <c r="A12316" t="s">
        <v>710</v>
      </c>
      <c r="B12316" t="s">
        <v>17</v>
      </c>
      <c r="E12316" s="3">
        <f>HYPERLINK("https://sao.dolgi.msk.ru/account/1404138297/", 1404138297)</f>
        <v>1404138297</v>
      </c>
      <c r="F12316">
        <v>0</v>
      </c>
    </row>
    <row r="12317" spans="1:6" hidden="1" x14ac:dyDescent="0.25">
      <c r="A12317" t="s">
        <v>710</v>
      </c>
      <c r="B12317" t="s">
        <v>18</v>
      </c>
      <c r="E12317" s="3">
        <f>HYPERLINK("https://sao.dolgi.msk.ru/account/1404137649/", 1404137649)</f>
        <v>1404137649</v>
      </c>
      <c r="F12317">
        <v>-1477.7</v>
      </c>
    </row>
    <row r="12318" spans="1:6" hidden="1" x14ac:dyDescent="0.25">
      <c r="A12318" t="s">
        <v>710</v>
      </c>
      <c r="B12318" t="s">
        <v>19</v>
      </c>
      <c r="E12318" s="3">
        <f>HYPERLINK("https://sao.dolgi.msk.ru/account/1404138756/", 1404138756)</f>
        <v>1404138756</v>
      </c>
      <c r="F12318">
        <v>-5033.78</v>
      </c>
    </row>
    <row r="12319" spans="1:6" hidden="1" x14ac:dyDescent="0.25">
      <c r="A12319" t="s">
        <v>710</v>
      </c>
      <c r="B12319" t="s">
        <v>20</v>
      </c>
      <c r="E12319" s="3">
        <f>HYPERLINK("https://sao.dolgi.msk.ru/account/1404137411/", 1404137411)</f>
        <v>1404137411</v>
      </c>
      <c r="F12319">
        <v>-4477.51</v>
      </c>
    </row>
    <row r="12320" spans="1:6" hidden="1" x14ac:dyDescent="0.25">
      <c r="A12320" t="s">
        <v>710</v>
      </c>
      <c r="B12320" t="s">
        <v>21</v>
      </c>
      <c r="E12320" s="3">
        <f>HYPERLINK("https://sao.dolgi.msk.ru/account/1404138502/", 1404138502)</f>
        <v>1404138502</v>
      </c>
      <c r="F12320">
        <v>-1996.19</v>
      </c>
    </row>
    <row r="12321" spans="1:6" hidden="1" x14ac:dyDescent="0.25">
      <c r="A12321" t="s">
        <v>710</v>
      </c>
      <c r="B12321" t="s">
        <v>22</v>
      </c>
      <c r="E12321" s="3">
        <f>HYPERLINK("https://sao.dolgi.msk.ru/account/1404138094/", 1404138094)</f>
        <v>1404138094</v>
      </c>
      <c r="F12321">
        <v>-4672.71</v>
      </c>
    </row>
    <row r="12322" spans="1:6" hidden="1" x14ac:dyDescent="0.25">
      <c r="A12322" t="s">
        <v>710</v>
      </c>
      <c r="B12322" t="s">
        <v>23</v>
      </c>
      <c r="E12322" s="3">
        <f>HYPERLINK("https://sao.dolgi.msk.ru/account/1404139011/", 1404139011)</f>
        <v>1404139011</v>
      </c>
      <c r="F12322">
        <v>-4032.74</v>
      </c>
    </row>
    <row r="12323" spans="1:6" hidden="1" x14ac:dyDescent="0.25">
      <c r="A12323" t="s">
        <v>710</v>
      </c>
      <c r="B12323" t="s">
        <v>24</v>
      </c>
      <c r="E12323" s="3">
        <f>HYPERLINK("https://sao.dolgi.msk.ru/account/1404138764/", 1404138764)</f>
        <v>1404138764</v>
      </c>
      <c r="F12323">
        <v>-4831.3599999999997</v>
      </c>
    </row>
    <row r="12324" spans="1:6" hidden="1" x14ac:dyDescent="0.25">
      <c r="A12324" t="s">
        <v>710</v>
      </c>
      <c r="B12324" t="s">
        <v>25</v>
      </c>
      <c r="E12324" s="3">
        <f>HYPERLINK("https://sao.dolgi.msk.ru/account/1404139038/", 1404139038)</f>
        <v>1404139038</v>
      </c>
      <c r="F12324">
        <v>-1609.37</v>
      </c>
    </row>
    <row r="12325" spans="1:6" hidden="1" x14ac:dyDescent="0.25">
      <c r="A12325" t="s">
        <v>710</v>
      </c>
      <c r="B12325" t="s">
        <v>26</v>
      </c>
      <c r="E12325" s="3">
        <f>HYPERLINK("https://sao.dolgi.msk.ru/account/1404137438/", 1404137438)</f>
        <v>1404137438</v>
      </c>
      <c r="F12325">
        <v>0</v>
      </c>
    </row>
    <row r="12326" spans="1:6" hidden="1" x14ac:dyDescent="0.25">
      <c r="A12326" t="s">
        <v>710</v>
      </c>
      <c r="B12326" t="s">
        <v>27</v>
      </c>
      <c r="E12326" s="3">
        <f>HYPERLINK("https://sao.dolgi.msk.ru/account/1404138772/", 1404138772)</f>
        <v>1404138772</v>
      </c>
      <c r="F12326">
        <v>-5144.71</v>
      </c>
    </row>
    <row r="12327" spans="1:6" hidden="1" x14ac:dyDescent="0.25">
      <c r="A12327" t="s">
        <v>710</v>
      </c>
      <c r="B12327" t="s">
        <v>28</v>
      </c>
      <c r="E12327" s="3">
        <f>HYPERLINK("https://sao.dolgi.msk.ru/account/1404139046/", 1404139046)</f>
        <v>1404139046</v>
      </c>
      <c r="F12327">
        <v>-4163.6499999999996</v>
      </c>
    </row>
    <row r="12328" spans="1:6" hidden="1" x14ac:dyDescent="0.25">
      <c r="A12328" t="s">
        <v>710</v>
      </c>
      <c r="B12328" t="s">
        <v>29</v>
      </c>
      <c r="E12328" s="3">
        <f>HYPERLINK("https://sao.dolgi.msk.ru/account/1404137921/", 1404137921)</f>
        <v>1404137921</v>
      </c>
      <c r="F12328">
        <v>-256.01</v>
      </c>
    </row>
    <row r="12329" spans="1:6" hidden="1" x14ac:dyDescent="0.25">
      <c r="A12329" t="s">
        <v>710</v>
      </c>
      <c r="B12329" t="s">
        <v>30</v>
      </c>
      <c r="E12329" s="3">
        <f>HYPERLINK("https://sao.dolgi.msk.ru/account/1404137948/", 1404137948)</f>
        <v>1404137948</v>
      </c>
      <c r="F12329">
        <v>0</v>
      </c>
    </row>
    <row r="12330" spans="1:6" hidden="1" x14ac:dyDescent="0.25">
      <c r="A12330" t="s">
        <v>710</v>
      </c>
      <c r="B12330" t="s">
        <v>31</v>
      </c>
      <c r="E12330" s="3">
        <f>HYPERLINK("https://sao.dolgi.msk.ru/account/1404137657/", 1404137657)</f>
        <v>1404137657</v>
      </c>
      <c r="F12330">
        <v>-2858.84</v>
      </c>
    </row>
    <row r="12331" spans="1:6" hidden="1" x14ac:dyDescent="0.25">
      <c r="A12331" t="s">
        <v>710</v>
      </c>
      <c r="B12331" t="s">
        <v>32</v>
      </c>
      <c r="E12331" s="3">
        <f>HYPERLINK("https://sao.dolgi.msk.ru/account/1404137446/", 1404137446)</f>
        <v>1404137446</v>
      </c>
      <c r="F12331">
        <v>-6645.45</v>
      </c>
    </row>
    <row r="12332" spans="1:6" hidden="1" x14ac:dyDescent="0.25">
      <c r="A12332" t="s">
        <v>710</v>
      </c>
      <c r="B12332" t="s">
        <v>33</v>
      </c>
      <c r="E12332" s="3">
        <f>HYPERLINK("https://sao.dolgi.msk.ru/account/1404138799/", 1404138799)</f>
        <v>1404138799</v>
      </c>
      <c r="F12332">
        <v>-194.74</v>
      </c>
    </row>
    <row r="12333" spans="1:6" hidden="1" x14ac:dyDescent="0.25">
      <c r="A12333" t="s">
        <v>710</v>
      </c>
      <c r="B12333" t="s">
        <v>34</v>
      </c>
      <c r="E12333" s="3">
        <f>HYPERLINK("https://sao.dolgi.msk.ru/account/1404139054/", 1404139054)</f>
        <v>1404139054</v>
      </c>
      <c r="F12333">
        <v>-2882.78</v>
      </c>
    </row>
    <row r="12334" spans="1:6" hidden="1" x14ac:dyDescent="0.25">
      <c r="A12334" t="s">
        <v>710</v>
      </c>
      <c r="B12334" t="s">
        <v>35</v>
      </c>
      <c r="E12334" s="3">
        <f>HYPERLINK("https://sao.dolgi.msk.ru/account/1404138107/", 1404138107)</f>
        <v>1404138107</v>
      </c>
      <c r="F12334">
        <v>0</v>
      </c>
    </row>
    <row r="12335" spans="1:6" hidden="1" x14ac:dyDescent="0.25">
      <c r="A12335" t="s">
        <v>710</v>
      </c>
      <c r="B12335" t="s">
        <v>36</v>
      </c>
      <c r="E12335" s="3">
        <f>HYPERLINK("https://sao.dolgi.msk.ru/account/1404138334/", 1404138334)</f>
        <v>1404138334</v>
      </c>
      <c r="F12335">
        <v>-6673.6</v>
      </c>
    </row>
    <row r="12336" spans="1:6" hidden="1" x14ac:dyDescent="0.25">
      <c r="A12336" t="s">
        <v>710</v>
      </c>
      <c r="B12336" t="s">
        <v>37</v>
      </c>
      <c r="E12336" s="3">
        <f>HYPERLINK("https://sao.dolgi.msk.ru/account/1404137673/", 1404137673)</f>
        <v>1404137673</v>
      </c>
      <c r="F12336">
        <v>-1676.75</v>
      </c>
    </row>
    <row r="12337" spans="1:6" hidden="1" x14ac:dyDescent="0.25">
      <c r="A12337" t="s">
        <v>710</v>
      </c>
      <c r="B12337" t="s">
        <v>38</v>
      </c>
      <c r="E12337" s="3">
        <f>HYPERLINK("https://sao.dolgi.msk.ru/account/1404138529/", 1404138529)</f>
        <v>1404138529</v>
      </c>
      <c r="F12337">
        <v>-6937.2</v>
      </c>
    </row>
    <row r="12338" spans="1:6" hidden="1" x14ac:dyDescent="0.25">
      <c r="A12338" t="s">
        <v>710</v>
      </c>
      <c r="B12338" t="s">
        <v>39</v>
      </c>
      <c r="E12338" s="3">
        <f>HYPERLINK("https://sao.dolgi.msk.ru/account/1404138537/", 1404138537)</f>
        <v>1404138537</v>
      </c>
      <c r="F12338">
        <v>-4388.8</v>
      </c>
    </row>
    <row r="12339" spans="1:6" hidden="1" x14ac:dyDescent="0.25">
      <c r="A12339" t="s">
        <v>710</v>
      </c>
      <c r="B12339" t="s">
        <v>40</v>
      </c>
      <c r="E12339" s="3">
        <f>HYPERLINK("https://sao.dolgi.msk.ru/account/1404137681/", 1404137681)</f>
        <v>1404137681</v>
      </c>
      <c r="F12339">
        <v>-5283.13</v>
      </c>
    </row>
    <row r="12340" spans="1:6" hidden="1" x14ac:dyDescent="0.25">
      <c r="A12340" t="s">
        <v>710</v>
      </c>
      <c r="B12340" t="s">
        <v>41</v>
      </c>
      <c r="E12340" s="3">
        <f>HYPERLINK("https://sao.dolgi.msk.ru/account/1404138801/", 1404138801)</f>
        <v>1404138801</v>
      </c>
      <c r="F12340">
        <v>-4107.76</v>
      </c>
    </row>
    <row r="12341" spans="1:6" hidden="1" x14ac:dyDescent="0.25">
      <c r="A12341" t="s">
        <v>710</v>
      </c>
      <c r="B12341" t="s">
        <v>42</v>
      </c>
      <c r="E12341" s="3">
        <f>HYPERLINK("https://sao.dolgi.msk.ru/account/1404138115/", 1404138115)</f>
        <v>1404138115</v>
      </c>
      <c r="F12341">
        <v>0</v>
      </c>
    </row>
    <row r="12342" spans="1:6" hidden="1" x14ac:dyDescent="0.25">
      <c r="A12342" t="s">
        <v>710</v>
      </c>
      <c r="B12342" t="s">
        <v>43</v>
      </c>
      <c r="E12342" s="3">
        <f>HYPERLINK("https://sao.dolgi.msk.ru/account/1404137454/", 1404137454)</f>
        <v>1404137454</v>
      </c>
      <c r="F12342">
        <v>-1964.56</v>
      </c>
    </row>
    <row r="12343" spans="1:6" hidden="1" x14ac:dyDescent="0.25">
      <c r="A12343" t="s">
        <v>710</v>
      </c>
      <c r="B12343" t="s">
        <v>44</v>
      </c>
      <c r="E12343" s="3">
        <f>HYPERLINK("https://sao.dolgi.msk.ru/account/1404138342/", 1404138342)</f>
        <v>1404138342</v>
      </c>
      <c r="F12343">
        <v>-1645.93</v>
      </c>
    </row>
    <row r="12344" spans="1:6" hidden="1" x14ac:dyDescent="0.25">
      <c r="A12344" t="s">
        <v>710</v>
      </c>
      <c r="B12344" t="s">
        <v>44</v>
      </c>
      <c r="E12344" s="3">
        <f>HYPERLINK("https://sao.dolgi.msk.ru/account/1404138676/", 1404138676)</f>
        <v>1404138676</v>
      </c>
      <c r="F12344">
        <v>-3291.89</v>
      </c>
    </row>
    <row r="12345" spans="1:6" hidden="1" x14ac:dyDescent="0.25">
      <c r="A12345" t="s">
        <v>710</v>
      </c>
      <c r="B12345" t="s">
        <v>45</v>
      </c>
      <c r="E12345" s="3">
        <f>HYPERLINK("https://sao.dolgi.msk.ru/account/1404137462/", 1404137462)</f>
        <v>1404137462</v>
      </c>
      <c r="F12345">
        <v>-3174.14</v>
      </c>
    </row>
    <row r="12346" spans="1:6" hidden="1" x14ac:dyDescent="0.25">
      <c r="A12346" t="s">
        <v>710</v>
      </c>
      <c r="B12346" t="s">
        <v>45</v>
      </c>
      <c r="E12346" s="3">
        <f>HYPERLINK("https://sao.dolgi.msk.ru/account/1404138211/", 1404138211)</f>
        <v>1404138211</v>
      </c>
      <c r="F12346">
        <v>-1119.5</v>
      </c>
    </row>
    <row r="12347" spans="1:6" hidden="1" x14ac:dyDescent="0.25">
      <c r="A12347" t="s">
        <v>710</v>
      </c>
      <c r="B12347" t="s">
        <v>46</v>
      </c>
      <c r="E12347" s="3">
        <f>HYPERLINK("https://sao.dolgi.msk.ru/account/1404137489/", 1404137489)</f>
        <v>1404137489</v>
      </c>
      <c r="F12347">
        <v>-5090.5200000000004</v>
      </c>
    </row>
    <row r="12348" spans="1:6" hidden="1" x14ac:dyDescent="0.25">
      <c r="A12348" t="s">
        <v>710</v>
      </c>
      <c r="B12348" t="s">
        <v>47</v>
      </c>
      <c r="E12348" s="3">
        <f>HYPERLINK("https://sao.dolgi.msk.ru/account/1404137497/", 1404137497)</f>
        <v>1404137497</v>
      </c>
      <c r="F12348">
        <v>-3398.09</v>
      </c>
    </row>
    <row r="12349" spans="1:6" hidden="1" x14ac:dyDescent="0.25">
      <c r="A12349" t="s">
        <v>710</v>
      </c>
      <c r="B12349" t="s">
        <v>48</v>
      </c>
      <c r="E12349" s="3">
        <f>HYPERLINK("https://sao.dolgi.msk.ru/account/1404137702/", 1404137702)</f>
        <v>1404137702</v>
      </c>
      <c r="F12349">
        <v>0</v>
      </c>
    </row>
    <row r="12350" spans="1:6" hidden="1" x14ac:dyDescent="0.25">
      <c r="A12350" t="s">
        <v>710</v>
      </c>
      <c r="B12350" t="s">
        <v>49</v>
      </c>
      <c r="E12350" s="3">
        <f>HYPERLINK("https://sao.dolgi.msk.ru/account/1404138131/", 1404138131)</f>
        <v>1404138131</v>
      </c>
      <c r="F12350">
        <v>-4161.71</v>
      </c>
    </row>
    <row r="12351" spans="1:6" hidden="1" x14ac:dyDescent="0.25">
      <c r="A12351" t="s">
        <v>710</v>
      </c>
      <c r="B12351" t="s">
        <v>50</v>
      </c>
      <c r="E12351" s="3">
        <f>HYPERLINK("https://sao.dolgi.msk.ru/account/1404138545/", 1404138545)</f>
        <v>1404138545</v>
      </c>
      <c r="F12351">
        <v>-4127.9799999999996</v>
      </c>
    </row>
    <row r="12352" spans="1:6" hidden="1" x14ac:dyDescent="0.25">
      <c r="A12352" t="s">
        <v>710</v>
      </c>
      <c r="B12352" t="s">
        <v>51</v>
      </c>
      <c r="E12352" s="3">
        <f>HYPERLINK("https://sao.dolgi.msk.ru/account/1404137518/", 1404137518)</f>
        <v>1404137518</v>
      </c>
      <c r="F12352">
        <v>-2392.29</v>
      </c>
    </row>
    <row r="12353" spans="1:6" hidden="1" x14ac:dyDescent="0.25">
      <c r="A12353" t="s">
        <v>710</v>
      </c>
      <c r="B12353" t="s">
        <v>52</v>
      </c>
      <c r="E12353" s="3">
        <f>HYPERLINK("https://sao.dolgi.msk.ru/account/1404137729/", 1404137729)</f>
        <v>1404137729</v>
      </c>
      <c r="F12353">
        <v>-4440.62</v>
      </c>
    </row>
    <row r="12354" spans="1:6" hidden="1" x14ac:dyDescent="0.25">
      <c r="A12354" t="s">
        <v>710</v>
      </c>
      <c r="B12354" t="s">
        <v>53</v>
      </c>
      <c r="E12354" s="3">
        <f>HYPERLINK("https://sao.dolgi.msk.ru/account/1404139062/", 1404139062)</f>
        <v>1404139062</v>
      </c>
      <c r="F12354">
        <v>-7943.6</v>
      </c>
    </row>
    <row r="12355" spans="1:6" hidden="1" x14ac:dyDescent="0.25">
      <c r="A12355" t="s">
        <v>710</v>
      </c>
      <c r="B12355" t="s">
        <v>54</v>
      </c>
      <c r="E12355" s="3">
        <f>HYPERLINK("https://sao.dolgi.msk.ru/account/1404138836/", 1404138836)</f>
        <v>1404138836</v>
      </c>
      <c r="F12355">
        <v>-201.02</v>
      </c>
    </row>
    <row r="12356" spans="1:6" hidden="1" x14ac:dyDescent="0.25">
      <c r="A12356" t="s">
        <v>710</v>
      </c>
      <c r="B12356" t="s">
        <v>55</v>
      </c>
      <c r="E12356" s="3">
        <f>HYPERLINK("https://sao.dolgi.msk.ru/account/1404137737/", 1404137737)</f>
        <v>1404137737</v>
      </c>
      <c r="F12356">
        <v>0</v>
      </c>
    </row>
    <row r="12357" spans="1:6" hidden="1" x14ac:dyDescent="0.25">
      <c r="A12357" t="s">
        <v>710</v>
      </c>
      <c r="B12357" t="s">
        <v>56</v>
      </c>
      <c r="E12357" s="3">
        <f>HYPERLINK("https://sao.dolgi.msk.ru/account/1404138553/", 1404138553)</f>
        <v>1404138553</v>
      </c>
      <c r="F12357">
        <v>-686.01</v>
      </c>
    </row>
    <row r="12358" spans="1:6" hidden="1" x14ac:dyDescent="0.25">
      <c r="A12358" t="s">
        <v>710</v>
      </c>
      <c r="B12358" t="s">
        <v>57</v>
      </c>
      <c r="E12358" s="3">
        <f>HYPERLINK("https://sao.dolgi.msk.ru/account/1404137745/", 1404137745)</f>
        <v>1404137745</v>
      </c>
      <c r="F12358">
        <v>-2098.48</v>
      </c>
    </row>
    <row r="12359" spans="1:6" hidden="1" x14ac:dyDescent="0.25">
      <c r="A12359" t="s">
        <v>710</v>
      </c>
      <c r="B12359" t="s">
        <v>58</v>
      </c>
      <c r="E12359" s="3">
        <f>HYPERLINK("https://sao.dolgi.msk.ru/account/1404137753/", 1404137753)</f>
        <v>1404137753</v>
      </c>
      <c r="F12359">
        <v>-4456.46</v>
      </c>
    </row>
    <row r="12360" spans="1:6" hidden="1" x14ac:dyDescent="0.25">
      <c r="A12360" t="s">
        <v>710</v>
      </c>
      <c r="B12360" t="s">
        <v>59</v>
      </c>
      <c r="E12360" s="3">
        <f>HYPERLINK("https://sao.dolgi.msk.ru/account/1404138369/", 1404138369)</f>
        <v>1404138369</v>
      </c>
      <c r="F12360">
        <v>-2281.2199999999998</v>
      </c>
    </row>
    <row r="12361" spans="1:6" hidden="1" x14ac:dyDescent="0.25">
      <c r="A12361" t="s">
        <v>710</v>
      </c>
      <c r="B12361" t="s">
        <v>60</v>
      </c>
      <c r="E12361" s="3">
        <f>HYPERLINK("https://sao.dolgi.msk.ru/account/1404137526/", 1404137526)</f>
        <v>1404137526</v>
      </c>
      <c r="F12361">
        <v>-5803.27</v>
      </c>
    </row>
    <row r="12362" spans="1:6" hidden="1" x14ac:dyDescent="0.25">
      <c r="A12362" t="s">
        <v>710</v>
      </c>
      <c r="B12362" t="s">
        <v>61</v>
      </c>
      <c r="E12362" s="3">
        <f>HYPERLINK("https://sao.dolgi.msk.ru/account/1404138377/", 1404138377)</f>
        <v>1404138377</v>
      </c>
      <c r="F12362">
        <v>-4653.03</v>
      </c>
    </row>
    <row r="12363" spans="1:6" hidden="1" x14ac:dyDescent="0.25">
      <c r="A12363" t="s">
        <v>710</v>
      </c>
      <c r="B12363" t="s">
        <v>62</v>
      </c>
      <c r="E12363" s="3">
        <f>HYPERLINK("https://sao.dolgi.msk.ru/account/1404137761/", 1404137761)</f>
        <v>1404137761</v>
      </c>
      <c r="F12363">
        <v>-5941.42</v>
      </c>
    </row>
    <row r="12364" spans="1:6" x14ac:dyDescent="0.25">
      <c r="A12364" t="s">
        <v>710</v>
      </c>
      <c r="B12364" t="s">
        <v>63</v>
      </c>
      <c r="C12364" s="5" t="str">
        <f t="shared" ref="C12364:C12365" si="507">" кв. "&amp;B12364</f>
        <v xml:space="preserve"> кв. 59</v>
      </c>
      <c r="D12364" s="5" t="str">
        <f>CONCATENATE(A12364,C12364)</f>
        <v>Фестивальная ул., дом 3 кв. 59</v>
      </c>
      <c r="E12364" s="3">
        <f>HYPERLINK("https://sao.dolgi.msk.ru/account/1404138844/", 1404138844)</f>
        <v>1404138844</v>
      </c>
      <c r="F12364">
        <v>3458.94</v>
      </c>
    </row>
    <row r="12365" spans="1:6" x14ac:dyDescent="0.25">
      <c r="A12365" t="s">
        <v>710</v>
      </c>
      <c r="B12365" t="s">
        <v>64</v>
      </c>
      <c r="C12365" s="5" t="str">
        <f t="shared" si="507"/>
        <v xml:space="preserve"> кв. 60</v>
      </c>
      <c r="D12365" s="5" t="str">
        <f>CONCATENATE(A12365,C12365)</f>
        <v>Фестивальная ул., дом 3 кв. 60</v>
      </c>
      <c r="E12365" s="3">
        <f>HYPERLINK("https://sao.dolgi.msk.ru/account/1404137788/", 1404137788)</f>
        <v>1404137788</v>
      </c>
      <c r="F12365">
        <v>13182.38</v>
      </c>
    </row>
    <row r="12366" spans="1:6" hidden="1" x14ac:dyDescent="0.25">
      <c r="A12366" t="s">
        <v>710</v>
      </c>
      <c r="B12366" t="s">
        <v>65</v>
      </c>
      <c r="E12366" s="3">
        <f>HYPERLINK("https://sao.dolgi.msk.ru/account/1404138385/", 1404138385)</f>
        <v>1404138385</v>
      </c>
      <c r="F12366">
        <v>-2880.43</v>
      </c>
    </row>
    <row r="12367" spans="1:6" hidden="1" x14ac:dyDescent="0.25">
      <c r="A12367" t="s">
        <v>710</v>
      </c>
      <c r="B12367" t="s">
        <v>66</v>
      </c>
      <c r="E12367" s="3">
        <f>HYPERLINK("https://sao.dolgi.msk.ru/account/1404138852/", 1404138852)</f>
        <v>1404138852</v>
      </c>
      <c r="F12367">
        <v>-6846.45</v>
      </c>
    </row>
    <row r="12368" spans="1:6" hidden="1" x14ac:dyDescent="0.25">
      <c r="A12368" t="s">
        <v>710</v>
      </c>
      <c r="B12368" t="s">
        <v>67</v>
      </c>
      <c r="E12368" s="3">
        <f>HYPERLINK("https://sao.dolgi.msk.ru/account/1404137534/", 1404137534)</f>
        <v>1404137534</v>
      </c>
      <c r="F12368">
        <v>-5443.52</v>
      </c>
    </row>
    <row r="12369" spans="1:6" hidden="1" x14ac:dyDescent="0.25">
      <c r="A12369" t="s">
        <v>710</v>
      </c>
      <c r="B12369" t="s">
        <v>68</v>
      </c>
      <c r="E12369" s="3">
        <f>HYPERLINK("https://sao.dolgi.msk.ru/account/1404137542/", 1404137542)</f>
        <v>1404137542</v>
      </c>
      <c r="F12369">
        <v>-2354.7399999999998</v>
      </c>
    </row>
    <row r="12370" spans="1:6" hidden="1" x14ac:dyDescent="0.25">
      <c r="A12370" t="s">
        <v>710</v>
      </c>
      <c r="B12370" t="s">
        <v>69</v>
      </c>
      <c r="E12370" s="3">
        <f>HYPERLINK("https://sao.dolgi.msk.ru/account/1404138393/", 1404138393)</f>
        <v>1404138393</v>
      </c>
      <c r="F12370">
        <v>-5569.78</v>
      </c>
    </row>
    <row r="12371" spans="1:6" hidden="1" x14ac:dyDescent="0.25">
      <c r="A12371" t="s">
        <v>710</v>
      </c>
      <c r="B12371" t="s">
        <v>70</v>
      </c>
      <c r="E12371" s="3">
        <f>HYPERLINK("https://sao.dolgi.msk.ru/account/1404138561/", 1404138561)</f>
        <v>1404138561</v>
      </c>
      <c r="F12371">
        <v>-4590.33</v>
      </c>
    </row>
    <row r="12372" spans="1:6" hidden="1" x14ac:dyDescent="0.25">
      <c r="A12372" t="s">
        <v>710</v>
      </c>
      <c r="B12372" t="s">
        <v>71</v>
      </c>
      <c r="E12372" s="3">
        <f>HYPERLINK("https://sao.dolgi.msk.ru/account/1404138879/", 1404138879)</f>
        <v>1404138879</v>
      </c>
      <c r="F12372">
        <v>-279.74</v>
      </c>
    </row>
    <row r="12373" spans="1:6" hidden="1" x14ac:dyDescent="0.25">
      <c r="A12373" t="s">
        <v>710</v>
      </c>
      <c r="B12373" t="s">
        <v>72</v>
      </c>
      <c r="E12373" s="3">
        <f>HYPERLINK("https://sao.dolgi.msk.ru/account/1404138887/", 1404138887)</f>
        <v>1404138887</v>
      </c>
      <c r="F12373">
        <v>-1263.23</v>
      </c>
    </row>
    <row r="12374" spans="1:6" hidden="1" x14ac:dyDescent="0.25">
      <c r="A12374" t="s">
        <v>710</v>
      </c>
      <c r="B12374" t="s">
        <v>73</v>
      </c>
      <c r="E12374" s="3">
        <f>HYPERLINK("https://sao.dolgi.msk.ru/account/1404138158/", 1404138158)</f>
        <v>1404138158</v>
      </c>
      <c r="F12374">
        <v>0</v>
      </c>
    </row>
    <row r="12375" spans="1:6" hidden="1" x14ac:dyDescent="0.25">
      <c r="A12375" t="s">
        <v>710</v>
      </c>
      <c r="B12375" t="s">
        <v>74</v>
      </c>
      <c r="E12375" s="3">
        <f>HYPERLINK("https://sao.dolgi.msk.ru/account/1404138166/", 1404138166)</f>
        <v>1404138166</v>
      </c>
      <c r="F12375">
        <v>-4664.68</v>
      </c>
    </row>
    <row r="12376" spans="1:6" hidden="1" x14ac:dyDescent="0.25">
      <c r="A12376" t="s">
        <v>710</v>
      </c>
      <c r="B12376" t="s">
        <v>75</v>
      </c>
      <c r="E12376" s="3">
        <f>HYPERLINK("https://sao.dolgi.msk.ru/account/1404137809/", 1404137809)</f>
        <v>1404137809</v>
      </c>
      <c r="F12376">
        <v>-5473.4</v>
      </c>
    </row>
    <row r="12377" spans="1:6" hidden="1" x14ac:dyDescent="0.25">
      <c r="A12377" t="s">
        <v>710</v>
      </c>
      <c r="B12377" t="s">
        <v>76</v>
      </c>
      <c r="E12377" s="3">
        <f>HYPERLINK("https://sao.dolgi.msk.ru/account/1404139089/", 1404139089)</f>
        <v>1404139089</v>
      </c>
      <c r="F12377">
        <v>-4195.47</v>
      </c>
    </row>
    <row r="12378" spans="1:6" hidden="1" x14ac:dyDescent="0.25">
      <c r="A12378" t="s">
        <v>710</v>
      </c>
      <c r="B12378" t="s">
        <v>77</v>
      </c>
      <c r="E12378" s="3">
        <f>HYPERLINK("https://sao.dolgi.msk.ru/account/1404137569/", 1404137569)</f>
        <v>1404137569</v>
      </c>
      <c r="F12378">
        <v>-2287.81</v>
      </c>
    </row>
    <row r="12379" spans="1:6" hidden="1" x14ac:dyDescent="0.25">
      <c r="A12379" t="s">
        <v>710</v>
      </c>
      <c r="B12379" t="s">
        <v>78</v>
      </c>
      <c r="E12379" s="3">
        <f>HYPERLINK("https://sao.dolgi.msk.ru/account/1404138588/", 1404138588)</f>
        <v>1404138588</v>
      </c>
      <c r="F12379">
        <v>-2457.9699999999998</v>
      </c>
    </row>
    <row r="12380" spans="1:6" hidden="1" x14ac:dyDescent="0.25">
      <c r="A12380" t="s">
        <v>710</v>
      </c>
      <c r="B12380" t="s">
        <v>79</v>
      </c>
      <c r="E12380" s="3">
        <f>HYPERLINK("https://sao.dolgi.msk.ru/account/1404138596/", 1404138596)</f>
        <v>1404138596</v>
      </c>
      <c r="F12380">
        <v>-3593.56</v>
      </c>
    </row>
    <row r="12381" spans="1:6" hidden="1" x14ac:dyDescent="0.25">
      <c r="A12381" t="s">
        <v>710</v>
      </c>
      <c r="B12381" t="s">
        <v>80</v>
      </c>
      <c r="E12381" s="3">
        <f>HYPERLINK("https://sao.dolgi.msk.ru/account/1404138609/", 1404138609)</f>
        <v>1404138609</v>
      </c>
      <c r="F12381">
        <v>-6054.72</v>
      </c>
    </row>
    <row r="12382" spans="1:6" hidden="1" x14ac:dyDescent="0.25">
      <c r="A12382" t="s">
        <v>710</v>
      </c>
      <c r="B12382" t="s">
        <v>81</v>
      </c>
      <c r="E12382" s="3">
        <f>HYPERLINK("https://sao.dolgi.msk.ru/account/1404137817/", 1404137817)</f>
        <v>1404137817</v>
      </c>
      <c r="F12382">
        <v>-616.09</v>
      </c>
    </row>
    <row r="12383" spans="1:6" hidden="1" x14ac:dyDescent="0.25">
      <c r="A12383" t="s">
        <v>710</v>
      </c>
      <c r="B12383" t="s">
        <v>82</v>
      </c>
      <c r="E12383" s="3">
        <f>HYPERLINK("https://sao.dolgi.msk.ru/account/1404138406/", 1404138406)</f>
        <v>1404138406</v>
      </c>
      <c r="F12383">
        <v>-2070.66</v>
      </c>
    </row>
    <row r="12384" spans="1:6" hidden="1" x14ac:dyDescent="0.25">
      <c r="A12384" t="s">
        <v>710</v>
      </c>
      <c r="B12384" t="s">
        <v>83</v>
      </c>
      <c r="E12384" s="3">
        <f>HYPERLINK("https://sao.dolgi.msk.ru/account/1404138414/", 1404138414)</f>
        <v>1404138414</v>
      </c>
      <c r="F12384">
        <v>-5228.54</v>
      </c>
    </row>
    <row r="12385" spans="1:6" hidden="1" x14ac:dyDescent="0.25">
      <c r="A12385" t="s">
        <v>710</v>
      </c>
      <c r="B12385" t="s">
        <v>84</v>
      </c>
      <c r="E12385" s="3">
        <f>HYPERLINK("https://sao.dolgi.msk.ru/account/1404138617/", 1404138617)</f>
        <v>1404138617</v>
      </c>
      <c r="F12385">
        <v>-4781.57</v>
      </c>
    </row>
    <row r="12386" spans="1:6" hidden="1" x14ac:dyDescent="0.25">
      <c r="A12386" t="s">
        <v>710</v>
      </c>
      <c r="B12386" t="s">
        <v>85</v>
      </c>
      <c r="E12386" s="3">
        <f>HYPERLINK("https://sao.dolgi.msk.ru/account/1404139097/", 1404139097)</f>
        <v>1404139097</v>
      </c>
      <c r="F12386">
        <v>-705.73</v>
      </c>
    </row>
    <row r="12387" spans="1:6" hidden="1" x14ac:dyDescent="0.25">
      <c r="A12387" t="s">
        <v>710</v>
      </c>
      <c r="B12387" t="s">
        <v>86</v>
      </c>
      <c r="E12387" s="3">
        <f>HYPERLINK("https://sao.dolgi.msk.ru/account/1404138625/", 1404138625)</f>
        <v>1404138625</v>
      </c>
      <c r="F12387">
        <v>0</v>
      </c>
    </row>
    <row r="12388" spans="1:6" hidden="1" x14ac:dyDescent="0.25">
      <c r="A12388" t="s">
        <v>710</v>
      </c>
      <c r="B12388" t="s">
        <v>87</v>
      </c>
      <c r="E12388" s="3">
        <f>HYPERLINK("https://sao.dolgi.msk.ru/account/1404138174/", 1404138174)</f>
        <v>1404138174</v>
      </c>
      <c r="F12388">
        <v>0</v>
      </c>
    </row>
    <row r="12389" spans="1:6" hidden="1" x14ac:dyDescent="0.25">
      <c r="A12389" t="s">
        <v>710</v>
      </c>
      <c r="B12389" t="s">
        <v>88</v>
      </c>
      <c r="E12389" s="3">
        <f>HYPERLINK("https://sao.dolgi.msk.ru/account/1404139118/", 1404139118)</f>
        <v>1404139118</v>
      </c>
      <c r="F12389">
        <v>0</v>
      </c>
    </row>
    <row r="12390" spans="1:6" hidden="1" x14ac:dyDescent="0.25">
      <c r="A12390" t="s">
        <v>710</v>
      </c>
      <c r="B12390" t="s">
        <v>89</v>
      </c>
      <c r="E12390" s="3">
        <f>HYPERLINK("https://sao.dolgi.msk.ru/account/1404138422/", 1404138422)</f>
        <v>1404138422</v>
      </c>
      <c r="F12390">
        <v>-3868.97</v>
      </c>
    </row>
    <row r="12391" spans="1:6" hidden="1" x14ac:dyDescent="0.25">
      <c r="A12391" t="s">
        <v>710</v>
      </c>
      <c r="B12391" t="s">
        <v>90</v>
      </c>
      <c r="E12391" s="3">
        <f>HYPERLINK("https://sao.dolgi.msk.ru/account/1404137972/", 1404137972)</f>
        <v>1404137972</v>
      </c>
      <c r="F12391">
        <v>-2312.0700000000002</v>
      </c>
    </row>
    <row r="12392" spans="1:6" x14ac:dyDescent="0.25">
      <c r="A12392" t="s">
        <v>710</v>
      </c>
      <c r="B12392" t="s">
        <v>91</v>
      </c>
      <c r="C12392" s="5" t="str">
        <f>" кв. "&amp;B12392</f>
        <v xml:space="preserve"> кв. 87</v>
      </c>
      <c r="D12392" s="5" t="str">
        <f>CONCATENATE(A12392,C12392)</f>
        <v>Фестивальная ул., дом 3 кв. 87</v>
      </c>
      <c r="E12392" s="3">
        <f>HYPERLINK("https://sao.dolgi.msk.ru/account/1404138895/", 1404138895)</f>
        <v>1404138895</v>
      </c>
      <c r="F12392">
        <v>7301.09</v>
      </c>
    </row>
    <row r="12393" spans="1:6" hidden="1" x14ac:dyDescent="0.25">
      <c r="A12393" t="s">
        <v>710</v>
      </c>
      <c r="B12393" t="s">
        <v>92</v>
      </c>
      <c r="E12393" s="3">
        <f>HYPERLINK("https://sao.dolgi.msk.ru/account/1404138449/", 1404138449)</f>
        <v>1404138449</v>
      </c>
      <c r="F12393">
        <v>-710.65</v>
      </c>
    </row>
    <row r="12394" spans="1:6" hidden="1" x14ac:dyDescent="0.25">
      <c r="A12394" t="s">
        <v>710</v>
      </c>
      <c r="B12394" t="s">
        <v>93</v>
      </c>
      <c r="E12394" s="3">
        <f>HYPERLINK("https://sao.dolgi.msk.ru/account/1404137577/", 1404137577)</f>
        <v>1404137577</v>
      </c>
      <c r="F12394">
        <v>-3793.76</v>
      </c>
    </row>
    <row r="12395" spans="1:6" hidden="1" x14ac:dyDescent="0.25">
      <c r="A12395" t="s">
        <v>710</v>
      </c>
      <c r="B12395" t="s">
        <v>94</v>
      </c>
      <c r="E12395" s="3">
        <f>HYPERLINK("https://sao.dolgi.msk.ru/account/1404138908/", 1404138908)</f>
        <v>1404138908</v>
      </c>
      <c r="F12395">
        <v>0</v>
      </c>
    </row>
    <row r="12396" spans="1:6" hidden="1" x14ac:dyDescent="0.25">
      <c r="A12396" t="s">
        <v>710</v>
      </c>
      <c r="B12396" t="s">
        <v>95</v>
      </c>
      <c r="E12396" s="3">
        <f>HYPERLINK("https://sao.dolgi.msk.ru/account/1404137825/", 1404137825)</f>
        <v>1404137825</v>
      </c>
      <c r="F12396">
        <v>-5542.56</v>
      </c>
    </row>
    <row r="12397" spans="1:6" x14ac:dyDescent="0.25">
      <c r="A12397" t="s">
        <v>710</v>
      </c>
      <c r="B12397" t="s">
        <v>96</v>
      </c>
      <c r="C12397" s="5" t="str">
        <f>" кв. "&amp;B12397</f>
        <v xml:space="preserve"> кв. 92</v>
      </c>
      <c r="D12397" s="5" t="str">
        <f>CONCATENATE(A12397,C12397)</f>
        <v>Фестивальная ул., дом 3 кв. 92</v>
      </c>
      <c r="E12397" s="3">
        <f>HYPERLINK("https://sao.dolgi.msk.ru/account/1404137999/", 1404137999)</f>
        <v>1404137999</v>
      </c>
      <c r="F12397">
        <v>12015.14</v>
      </c>
    </row>
    <row r="12398" spans="1:6" hidden="1" x14ac:dyDescent="0.25">
      <c r="A12398" t="s">
        <v>710</v>
      </c>
      <c r="B12398" t="s">
        <v>97</v>
      </c>
      <c r="E12398" s="3">
        <f>HYPERLINK("https://sao.dolgi.msk.ru/account/1404138182/", 1404138182)</f>
        <v>1404138182</v>
      </c>
      <c r="F12398">
        <v>-3341.3</v>
      </c>
    </row>
    <row r="12399" spans="1:6" hidden="1" x14ac:dyDescent="0.25">
      <c r="A12399" t="s">
        <v>710</v>
      </c>
      <c r="B12399" t="s">
        <v>98</v>
      </c>
      <c r="E12399" s="3">
        <f>HYPERLINK("https://sao.dolgi.msk.ru/account/1404137585/", 1404137585)</f>
        <v>1404137585</v>
      </c>
      <c r="F12399">
        <v>-275.3</v>
      </c>
    </row>
    <row r="12400" spans="1:6" x14ac:dyDescent="0.25">
      <c r="A12400" t="s">
        <v>710</v>
      </c>
      <c r="B12400" t="s">
        <v>99</v>
      </c>
      <c r="C12400" s="5" t="str">
        <f>" кв. "&amp;B12400</f>
        <v xml:space="preserve"> кв. 95</v>
      </c>
      <c r="D12400" s="5" t="str">
        <f>CONCATENATE(A12400,C12400)</f>
        <v>Фестивальная ул., дом 3 кв. 95</v>
      </c>
      <c r="E12400" s="3">
        <f>HYPERLINK("https://sao.dolgi.msk.ru/account/1404138203/", 1404138203)</f>
        <v>1404138203</v>
      </c>
      <c r="F12400">
        <v>270.56</v>
      </c>
    </row>
    <row r="12401" spans="1:6" hidden="1" x14ac:dyDescent="0.25">
      <c r="A12401" t="s">
        <v>710</v>
      </c>
      <c r="B12401" t="s">
        <v>100</v>
      </c>
      <c r="E12401" s="3">
        <f>HYPERLINK("https://sao.dolgi.msk.ru/account/1404138916/", 1404138916)</f>
        <v>1404138916</v>
      </c>
      <c r="F12401">
        <v>0</v>
      </c>
    </row>
    <row r="12402" spans="1:6" hidden="1" x14ac:dyDescent="0.25">
      <c r="A12402" t="s">
        <v>710</v>
      </c>
      <c r="B12402" t="s">
        <v>101</v>
      </c>
      <c r="E12402" s="3">
        <f>HYPERLINK("https://sao.dolgi.msk.ru/account/1404138457/", 1404138457)</f>
        <v>1404138457</v>
      </c>
      <c r="F12402">
        <v>-4108.8</v>
      </c>
    </row>
    <row r="12403" spans="1:6" hidden="1" x14ac:dyDescent="0.25">
      <c r="A12403" t="s">
        <v>710</v>
      </c>
      <c r="B12403" t="s">
        <v>102</v>
      </c>
      <c r="E12403" s="3">
        <f>HYPERLINK("https://sao.dolgi.msk.ru/account/1404138641/", 1404138641)</f>
        <v>1404138641</v>
      </c>
      <c r="F12403">
        <v>-1544.07</v>
      </c>
    </row>
    <row r="12404" spans="1:6" hidden="1" x14ac:dyDescent="0.25">
      <c r="A12404" t="s">
        <v>710</v>
      </c>
      <c r="B12404" t="s">
        <v>103</v>
      </c>
      <c r="E12404" s="3">
        <f>HYPERLINK("https://sao.dolgi.msk.ru/account/1404138924/", 1404138924)</f>
        <v>1404138924</v>
      </c>
      <c r="F12404">
        <v>-5246.33</v>
      </c>
    </row>
    <row r="12405" spans="1:6" hidden="1" x14ac:dyDescent="0.25">
      <c r="A12405" t="s">
        <v>710</v>
      </c>
      <c r="B12405" t="s">
        <v>104</v>
      </c>
      <c r="E12405" s="3">
        <f>HYPERLINK("https://sao.dolgi.msk.ru/account/1404137358/", 1404137358)</f>
        <v>1404137358</v>
      </c>
      <c r="F12405">
        <v>-6294.21</v>
      </c>
    </row>
    <row r="12406" spans="1:6" hidden="1" x14ac:dyDescent="0.25">
      <c r="A12406" t="s">
        <v>710</v>
      </c>
      <c r="B12406" t="s">
        <v>105</v>
      </c>
      <c r="E12406" s="3">
        <f>HYPERLINK("https://sao.dolgi.msk.ru/account/1404138019/", 1404138019)</f>
        <v>1404138019</v>
      </c>
      <c r="F12406">
        <v>-4676.5600000000004</v>
      </c>
    </row>
    <row r="12407" spans="1:6" x14ac:dyDescent="0.25">
      <c r="A12407" t="s">
        <v>710</v>
      </c>
      <c r="B12407" t="s">
        <v>106</v>
      </c>
      <c r="C12407" s="5" t="str">
        <f>" кв. "&amp;B12407</f>
        <v xml:space="preserve"> кв. 102</v>
      </c>
      <c r="D12407" s="5" t="str">
        <f>CONCATENATE(A12407,C12407)</f>
        <v>Фестивальная ул., дом 3 кв. 102</v>
      </c>
      <c r="E12407" s="3">
        <f>HYPERLINK("https://sao.dolgi.msk.ru/account/1404137593/", 1404137593)</f>
        <v>1404137593</v>
      </c>
      <c r="F12407">
        <v>4334.5</v>
      </c>
    </row>
    <row r="12408" spans="1:6" hidden="1" x14ac:dyDescent="0.25">
      <c r="A12408" t="s">
        <v>710</v>
      </c>
      <c r="B12408" t="s">
        <v>107</v>
      </c>
      <c r="E12408" s="3">
        <f>HYPERLINK("https://sao.dolgi.msk.ru/account/1404138932/", 1404138932)</f>
        <v>1404138932</v>
      </c>
      <c r="F12408">
        <v>-4089.36</v>
      </c>
    </row>
    <row r="12409" spans="1:6" hidden="1" x14ac:dyDescent="0.25">
      <c r="A12409" t="s">
        <v>710</v>
      </c>
      <c r="B12409" t="s">
        <v>108</v>
      </c>
      <c r="E12409" s="3">
        <f>HYPERLINK("https://sao.dolgi.msk.ru/account/1404138238/", 1404138238)</f>
        <v>1404138238</v>
      </c>
      <c r="F12409">
        <v>-9294.2000000000007</v>
      </c>
    </row>
    <row r="12410" spans="1:6" hidden="1" x14ac:dyDescent="0.25">
      <c r="A12410" t="s">
        <v>710</v>
      </c>
      <c r="B12410" t="s">
        <v>109</v>
      </c>
      <c r="E12410" s="3">
        <f>HYPERLINK("https://sao.dolgi.msk.ru/account/1404138684/", 1404138684)</f>
        <v>1404138684</v>
      </c>
      <c r="F12410">
        <v>-4782.49</v>
      </c>
    </row>
    <row r="12411" spans="1:6" hidden="1" x14ac:dyDescent="0.25">
      <c r="A12411" t="s">
        <v>710</v>
      </c>
      <c r="B12411" t="s">
        <v>110</v>
      </c>
      <c r="E12411" s="3">
        <f>HYPERLINK("https://sao.dolgi.msk.ru/account/1404137833/", 1404137833)</f>
        <v>1404137833</v>
      </c>
      <c r="F12411">
        <v>0</v>
      </c>
    </row>
    <row r="12412" spans="1:6" hidden="1" x14ac:dyDescent="0.25">
      <c r="A12412" t="s">
        <v>710</v>
      </c>
      <c r="B12412" t="s">
        <v>111</v>
      </c>
      <c r="E12412" s="3">
        <f>HYPERLINK("https://sao.dolgi.msk.ru/account/1404138246/", 1404138246)</f>
        <v>1404138246</v>
      </c>
      <c r="F12412">
        <v>-564.15</v>
      </c>
    </row>
    <row r="12413" spans="1:6" hidden="1" x14ac:dyDescent="0.25">
      <c r="A12413" t="s">
        <v>710</v>
      </c>
      <c r="B12413" t="s">
        <v>112</v>
      </c>
      <c r="E12413" s="3">
        <f>HYPERLINK("https://sao.dolgi.msk.ru/account/1404138465/", 1404138465)</f>
        <v>1404138465</v>
      </c>
      <c r="F12413">
        <v>-2813.93</v>
      </c>
    </row>
    <row r="12414" spans="1:6" hidden="1" x14ac:dyDescent="0.25">
      <c r="A12414" t="s">
        <v>710</v>
      </c>
      <c r="B12414" t="s">
        <v>113</v>
      </c>
      <c r="E12414" s="3">
        <f>HYPERLINK("https://sao.dolgi.msk.ru/account/1404138959/", 1404138959)</f>
        <v>1404138959</v>
      </c>
      <c r="F12414">
        <v>0</v>
      </c>
    </row>
    <row r="12415" spans="1:6" x14ac:dyDescent="0.25">
      <c r="A12415" t="s">
        <v>710</v>
      </c>
      <c r="B12415" t="s">
        <v>114</v>
      </c>
      <c r="C12415" s="5" t="str">
        <f>" кв. "&amp;B12415</f>
        <v xml:space="preserve"> кв. 110</v>
      </c>
      <c r="D12415" s="5" t="str">
        <f>CONCATENATE(A12415,C12415)</f>
        <v>Фестивальная ул., дом 3 кв. 110</v>
      </c>
      <c r="E12415" s="3">
        <f>HYPERLINK("https://sao.dolgi.msk.ru/account/1404138027/", 1404138027)</f>
        <v>1404138027</v>
      </c>
      <c r="F12415">
        <v>2343.3000000000002</v>
      </c>
    </row>
    <row r="12416" spans="1:6" hidden="1" x14ac:dyDescent="0.25">
      <c r="A12416" t="s">
        <v>710</v>
      </c>
      <c r="B12416" t="s">
        <v>115</v>
      </c>
      <c r="E12416" s="3">
        <f>HYPERLINK("https://sao.dolgi.msk.ru/account/1404138967/", 1404138967)</f>
        <v>1404138967</v>
      </c>
      <c r="F12416">
        <v>0</v>
      </c>
    </row>
    <row r="12417" spans="1:6" hidden="1" x14ac:dyDescent="0.25">
      <c r="A12417" t="s">
        <v>710</v>
      </c>
      <c r="B12417" t="s">
        <v>116</v>
      </c>
      <c r="E12417" s="3">
        <f>HYPERLINK("https://sao.dolgi.msk.ru/account/1404138254/", 1404138254)</f>
        <v>1404138254</v>
      </c>
      <c r="F12417">
        <v>-4073.66</v>
      </c>
    </row>
    <row r="12418" spans="1:6" hidden="1" x14ac:dyDescent="0.25">
      <c r="A12418" t="s">
        <v>710</v>
      </c>
      <c r="B12418" t="s">
        <v>117</v>
      </c>
      <c r="E12418" s="3">
        <f>HYPERLINK("https://sao.dolgi.msk.ru/account/1404138975/", 1404138975)</f>
        <v>1404138975</v>
      </c>
      <c r="F12418">
        <v>0</v>
      </c>
    </row>
    <row r="12419" spans="1:6" x14ac:dyDescent="0.25">
      <c r="A12419" t="s">
        <v>710</v>
      </c>
      <c r="B12419" t="s">
        <v>118</v>
      </c>
      <c r="C12419" s="5" t="str">
        <f>" кв. "&amp;B12419</f>
        <v xml:space="preserve"> кв. 114</v>
      </c>
      <c r="D12419" s="5" t="str">
        <f>CONCATENATE(A12419,C12419)</f>
        <v>Фестивальная ул., дом 3 кв. 114</v>
      </c>
      <c r="E12419" s="3">
        <f>HYPERLINK("https://sao.dolgi.msk.ru/account/1404137366/", 1404137366)</f>
        <v>1404137366</v>
      </c>
      <c r="F12419">
        <v>6764.16</v>
      </c>
    </row>
    <row r="12420" spans="1:6" hidden="1" x14ac:dyDescent="0.25">
      <c r="A12420" t="s">
        <v>710</v>
      </c>
      <c r="B12420" t="s">
        <v>119</v>
      </c>
      <c r="E12420" s="3">
        <f>HYPERLINK("https://sao.dolgi.msk.ru/account/1404138692/", 1404138692)</f>
        <v>1404138692</v>
      </c>
      <c r="F12420">
        <v>-6828.57</v>
      </c>
    </row>
    <row r="12421" spans="1:6" hidden="1" x14ac:dyDescent="0.25">
      <c r="A12421" t="s">
        <v>710</v>
      </c>
      <c r="B12421" t="s">
        <v>120</v>
      </c>
      <c r="E12421" s="3">
        <f>HYPERLINK("https://sao.dolgi.msk.ru/account/1404137374/", 1404137374)</f>
        <v>1404137374</v>
      </c>
      <c r="F12421">
        <v>-1945.86</v>
      </c>
    </row>
    <row r="12422" spans="1:6" hidden="1" x14ac:dyDescent="0.25">
      <c r="A12422" t="s">
        <v>710</v>
      </c>
      <c r="B12422" t="s">
        <v>121</v>
      </c>
      <c r="E12422" s="3">
        <f>HYPERLINK("https://sao.dolgi.msk.ru/account/1404137614/", 1404137614)</f>
        <v>1404137614</v>
      </c>
      <c r="F12422">
        <v>-2121.7800000000002</v>
      </c>
    </row>
    <row r="12423" spans="1:6" hidden="1" x14ac:dyDescent="0.25">
      <c r="A12423" t="s">
        <v>710</v>
      </c>
      <c r="B12423" t="s">
        <v>122</v>
      </c>
      <c r="E12423" s="3">
        <f>HYPERLINK("https://sao.dolgi.msk.ru/account/1404138983/", 1404138983)</f>
        <v>1404138983</v>
      </c>
      <c r="F12423">
        <v>-3116.4</v>
      </c>
    </row>
    <row r="12424" spans="1:6" hidden="1" x14ac:dyDescent="0.25">
      <c r="A12424" t="s">
        <v>710</v>
      </c>
      <c r="B12424" t="s">
        <v>123</v>
      </c>
      <c r="E12424" s="3">
        <f>HYPERLINK("https://sao.dolgi.msk.ru/account/1404137841/", 1404137841)</f>
        <v>1404137841</v>
      </c>
      <c r="F12424">
        <v>-5106.26</v>
      </c>
    </row>
    <row r="12425" spans="1:6" hidden="1" x14ac:dyDescent="0.25">
      <c r="A12425" t="s">
        <v>710</v>
      </c>
      <c r="B12425" t="s">
        <v>124</v>
      </c>
      <c r="E12425" s="3">
        <f>HYPERLINK("https://sao.dolgi.msk.ru/account/1404137876/", 1404137876)</f>
        <v>1404137876</v>
      </c>
      <c r="F12425">
        <v>-1445.87</v>
      </c>
    </row>
    <row r="12426" spans="1:6" hidden="1" x14ac:dyDescent="0.25">
      <c r="A12426" t="s">
        <v>710</v>
      </c>
      <c r="B12426" t="s">
        <v>125</v>
      </c>
      <c r="E12426" s="3">
        <f>HYPERLINK("https://sao.dolgi.msk.ru/account/1404137884/", 1404137884)</f>
        <v>1404137884</v>
      </c>
      <c r="F12426">
        <v>-2450.91</v>
      </c>
    </row>
    <row r="12427" spans="1:6" hidden="1" x14ac:dyDescent="0.25">
      <c r="A12427" t="s">
        <v>710</v>
      </c>
      <c r="B12427" t="s">
        <v>126</v>
      </c>
      <c r="E12427" s="3">
        <f>HYPERLINK("https://sao.dolgi.msk.ru/account/1404138705/", 1404138705)</f>
        <v>1404138705</v>
      </c>
      <c r="F12427">
        <v>-5769.44</v>
      </c>
    </row>
    <row r="12428" spans="1:6" hidden="1" x14ac:dyDescent="0.25">
      <c r="A12428" t="s">
        <v>710</v>
      </c>
      <c r="B12428" t="s">
        <v>127</v>
      </c>
      <c r="E12428" s="3">
        <f>HYPERLINK("https://sao.dolgi.msk.ru/account/1404138035/", 1404138035)</f>
        <v>1404138035</v>
      </c>
      <c r="F12428">
        <v>0</v>
      </c>
    </row>
    <row r="12429" spans="1:6" hidden="1" x14ac:dyDescent="0.25">
      <c r="A12429" t="s">
        <v>710</v>
      </c>
      <c r="B12429" t="s">
        <v>128</v>
      </c>
      <c r="E12429" s="3">
        <f>HYPERLINK("https://sao.dolgi.msk.ru/account/1404138262/", 1404138262)</f>
        <v>1404138262</v>
      </c>
      <c r="F12429">
        <v>-611.1</v>
      </c>
    </row>
    <row r="12430" spans="1:6" hidden="1" x14ac:dyDescent="0.25">
      <c r="A12430" t="s">
        <v>710</v>
      </c>
      <c r="B12430" t="s">
        <v>129</v>
      </c>
      <c r="E12430" s="3">
        <f>HYPERLINK("https://sao.dolgi.msk.ru/account/1404138473/", 1404138473)</f>
        <v>1404138473</v>
      </c>
      <c r="F12430">
        <v>-4598.12</v>
      </c>
    </row>
    <row r="12431" spans="1:6" hidden="1" x14ac:dyDescent="0.25">
      <c r="A12431" t="s">
        <v>710</v>
      </c>
      <c r="B12431" t="s">
        <v>130</v>
      </c>
      <c r="E12431" s="3">
        <f>HYPERLINK("https://sao.dolgi.msk.ru/account/1404138289/", 1404138289)</f>
        <v>1404138289</v>
      </c>
      <c r="F12431">
        <v>-1861</v>
      </c>
    </row>
    <row r="12432" spans="1:6" hidden="1" x14ac:dyDescent="0.25">
      <c r="A12432" t="s">
        <v>710</v>
      </c>
      <c r="B12432" t="s">
        <v>131</v>
      </c>
      <c r="E12432" s="3">
        <f>HYPERLINK("https://sao.dolgi.msk.ru/account/1404137892/", 1404137892)</f>
        <v>1404137892</v>
      </c>
      <c r="F12432">
        <v>-6377.37</v>
      </c>
    </row>
    <row r="12433" spans="1:6" hidden="1" x14ac:dyDescent="0.25">
      <c r="A12433" t="s">
        <v>710</v>
      </c>
      <c r="B12433" t="s">
        <v>132</v>
      </c>
      <c r="E12433" s="3">
        <f>HYPERLINK("https://sao.dolgi.msk.ru/account/1404137382/", 1404137382)</f>
        <v>1404137382</v>
      </c>
      <c r="F12433">
        <v>0</v>
      </c>
    </row>
    <row r="12434" spans="1:6" hidden="1" x14ac:dyDescent="0.25">
      <c r="A12434" t="s">
        <v>710</v>
      </c>
      <c r="B12434" t="s">
        <v>133</v>
      </c>
      <c r="E12434" s="3">
        <f>HYPERLINK("https://sao.dolgi.msk.ru/account/1404137905/", 1404137905)</f>
        <v>1404137905</v>
      </c>
      <c r="F12434">
        <v>-3876.54</v>
      </c>
    </row>
    <row r="12435" spans="1:6" hidden="1" x14ac:dyDescent="0.25">
      <c r="A12435" t="s">
        <v>710</v>
      </c>
      <c r="B12435" t="s">
        <v>134</v>
      </c>
      <c r="E12435" s="3">
        <f>HYPERLINK("https://sao.dolgi.msk.ru/account/1404138318/", 1404138318)</f>
        <v>1404138318</v>
      </c>
      <c r="F12435">
        <v>-4006.44</v>
      </c>
    </row>
    <row r="12436" spans="1:6" hidden="1" x14ac:dyDescent="0.25">
      <c r="A12436" t="s">
        <v>710</v>
      </c>
      <c r="B12436" t="s">
        <v>135</v>
      </c>
      <c r="E12436" s="3">
        <f>HYPERLINK("https://sao.dolgi.msk.ru/account/1404138713/", 1404138713)</f>
        <v>1404138713</v>
      </c>
      <c r="F12436">
        <v>-2193.4699999999998</v>
      </c>
    </row>
    <row r="12437" spans="1:6" hidden="1" x14ac:dyDescent="0.25">
      <c r="A12437" t="s">
        <v>710</v>
      </c>
      <c r="B12437" t="s">
        <v>136</v>
      </c>
      <c r="E12437" s="3">
        <f>HYPERLINK("https://sao.dolgi.msk.ru/account/1404138043/", 1404138043)</f>
        <v>1404138043</v>
      </c>
      <c r="F12437">
        <v>0</v>
      </c>
    </row>
    <row r="12438" spans="1:6" hidden="1" x14ac:dyDescent="0.25">
      <c r="A12438" t="s">
        <v>710</v>
      </c>
      <c r="B12438" t="s">
        <v>137</v>
      </c>
      <c r="E12438" s="3">
        <f>HYPERLINK("https://sao.dolgi.msk.ru/account/1404137622/", 1404137622)</f>
        <v>1404137622</v>
      </c>
      <c r="F12438">
        <v>-5252.69</v>
      </c>
    </row>
    <row r="12439" spans="1:6" hidden="1" x14ac:dyDescent="0.25">
      <c r="A12439" t="s">
        <v>710</v>
      </c>
      <c r="B12439" t="s">
        <v>138</v>
      </c>
      <c r="E12439" s="3">
        <f>HYPERLINK("https://sao.dolgi.msk.ru/account/1404138051/", 1404138051)</f>
        <v>1404138051</v>
      </c>
      <c r="F12439">
        <v>-346.58</v>
      </c>
    </row>
    <row r="12440" spans="1:6" hidden="1" x14ac:dyDescent="0.25">
      <c r="A12440" t="s">
        <v>710</v>
      </c>
      <c r="B12440" t="s">
        <v>139</v>
      </c>
      <c r="E12440" s="3">
        <f>HYPERLINK("https://sao.dolgi.msk.ru/account/1404138991/", 1404138991)</f>
        <v>1404138991</v>
      </c>
      <c r="F12440">
        <v>-2462.94</v>
      </c>
    </row>
    <row r="12441" spans="1:6" hidden="1" x14ac:dyDescent="0.25">
      <c r="A12441" t="s">
        <v>710</v>
      </c>
      <c r="B12441" t="s">
        <v>140</v>
      </c>
      <c r="E12441" s="3">
        <f>HYPERLINK("https://sao.dolgi.msk.ru/account/1404137403/", 1404137403)</f>
        <v>1404137403</v>
      </c>
      <c r="F12441">
        <v>-2477.6999999999998</v>
      </c>
    </row>
    <row r="12442" spans="1:6" hidden="1" x14ac:dyDescent="0.25">
      <c r="A12442" t="s">
        <v>710</v>
      </c>
      <c r="B12442" t="s">
        <v>141</v>
      </c>
      <c r="E12442" s="3">
        <f>HYPERLINK("https://sao.dolgi.msk.ru/account/1404138721/", 1404138721)</f>
        <v>1404138721</v>
      </c>
      <c r="F12442">
        <v>-7025.24</v>
      </c>
    </row>
    <row r="12443" spans="1:6" hidden="1" x14ac:dyDescent="0.25">
      <c r="A12443" t="s">
        <v>710</v>
      </c>
      <c r="B12443" t="s">
        <v>142</v>
      </c>
      <c r="E12443" s="3">
        <f>HYPERLINK("https://sao.dolgi.msk.ru/account/1404139003/", 1404139003)</f>
        <v>1404139003</v>
      </c>
      <c r="F12443">
        <v>0</v>
      </c>
    </row>
    <row r="12444" spans="1:6" hidden="1" x14ac:dyDescent="0.25">
      <c r="A12444" t="s">
        <v>710</v>
      </c>
      <c r="B12444" t="s">
        <v>143</v>
      </c>
      <c r="E12444" s="3">
        <f>HYPERLINK("https://sao.dolgi.msk.ru/account/1404138326/", 1404138326)</f>
        <v>1404138326</v>
      </c>
      <c r="F12444">
        <v>-6011.3</v>
      </c>
    </row>
    <row r="12445" spans="1:6" hidden="1" x14ac:dyDescent="0.25">
      <c r="A12445" t="s">
        <v>710</v>
      </c>
      <c r="B12445" t="s">
        <v>144</v>
      </c>
      <c r="E12445" s="3">
        <f>HYPERLINK("https://sao.dolgi.msk.ru/account/1404138748/", 1404138748)</f>
        <v>1404138748</v>
      </c>
      <c r="F12445">
        <v>-591</v>
      </c>
    </row>
    <row r="12446" spans="1:6" hidden="1" x14ac:dyDescent="0.25">
      <c r="A12446" t="s">
        <v>710</v>
      </c>
      <c r="B12446" t="s">
        <v>145</v>
      </c>
      <c r="E12446" s="3">
        <f>HYPERLINK("https://sao.dolgi.msk.ru/account/1404138078/", 1404138078)</f>
        <v>1404138078</v>
      </c>
      <c r="F12446">
        <v>-2556.09</v>
      </c>
    </row>
    <row r="12447" spans="1:6" x14ac:dyDescent="0.25">
      <c r="A12447" t="s">
        <v>710</v>
      </c>
      <c r="B12447" t="s">
        <v>146</v>
      </c>
      <c r="C12447" s="5" t="str">
        <f>" кв. "&amp;B12447</f>
        <v xml:space="preserve"> кв. 142</v>
      </c>
      <c r="D12447" s="5" t="str">
        <f>CONCATENATE(A12447,C12447)</f>
        <v>Фестивальная ул., дом 3 кв. 142</v>
      </c>
      <c r="E12447" s="3">
        <f>HYPERLINK("https://sao.dolgi.msk.ru/account/1404137913/", 1404137913)</f>
        <v>1404137913</v>
      </c>
      <c r="F12447">
        <v>3854.76</v>
      </c>
    </row>
    <row r="12448" spans="1:6" hidden="1" x14ac:dyDescent="0.25">
      <c r="A12448" t="s">
        <v>710</v>
      </c>
      <c r="B12448" t="s">
        <v>147</v>
      </c>
      <c r="E12448" s="3">
        <f>HYPERLINK("https://sao.dolgi.msk.ru/account/1404138481/", 1404138481)</f>
        <v>1404138481</v>
      </c>
      <c r="F12448">
        <v>-3416.34</v>
      </c>
    </row>
    <row r="12449" spans="1:6" hidden="1" x14ac:dyDescent="0.25">
      <c r="A12449" t="s">
        <v>710</v>
      </c>
      <c r="B12449" t="s">
        <v>148</v>
      </c>
      <c r="E12449" s="3">
        <f>HYPERLINK("https://sao.dolgi.msk.ru/account/1404138086/", 1404138086)</f>
        <v>1404138086</v>
      </c>
      <c r="F12449">
        <v>-1438.02</v>
      </c>
    </row>
    <row r="12450" spans="1:6" x14ac:dyDescent="0.25">
      <c r="A12450" t="s">
        <v>711</v>
      </c>
      <c r="B12450" t="s">
        <v>5</v>
      </c>
      <c r="C12450" s="5" t="str">
        <f t="shared" ref="C12450:C12451" si="508">" кв. "&amp;B12450</f>
        <v xml:space="preserve"> кв. 1</v>
      </c>
      <c r="D12450" s="5" t="str">
        <f>CONCATENATE(A12450,C12450)</f>
        <v>Фестивальная ул., дом 4 кв. 1</v>
      </c>
      <c r="E12450" s="3">
        <f>HYPERLINK("https://sao.dolgi.msk.ru/account/1404208144/", 1404208144)</f>
        <v>1404208144</v>
      </c>
      <c r="F12450">
        <v>3169.33</v>
      </c>
    </row>
    <row r="12451" spans="1:6" x14ac:dyDescent="0.25">
      <c r="A12451" t="s">
        <v>711</v>
      </c>
      <c r="B12451" t="s">
        <v>6</v>
      </c>
      <c r="C12451" s="5" t="str">
        <f t="shared" si="508"/>
        <v xml:space="preserve"> кв. 2</v>
      </c>
      <c r="D12451" s="5" t="str">
        <f>CONCATENATE(A12451,C12451)</f>
        <v>Фестивальная ул., дом 4 кв. 2</v>
      </c>
      <c r="E12451" s="3">
        <f>HYPERLINK("https://sao.dolgi.msk.ru/account/1404208304/", 1404208304)</f>
        <v>1404208304</v>
      </c>
      <c r="F12451">
        <v>1227.24</v>
      </c>
    </row>
    <row r="12452" spans="1:6" hidden="1" x14ac:dyDescent="0.25">
      <c r="A12452" t="s">
        <v>711</v>
      </c>
      <c r="B12452" t="s">
        <v>7</v>
      </c>
      <c r="E12452" s="3">
        <f>HYPERLINK("https://sao.dolgi.msk.ru/account/1404208208/", 1404208208)</f>
        <v>1404208208</v>
      </c>
      <c r="F12452">
        <v>-2519.8200000000002</v>
      </c>
    </row>
    <row r="12453" spans="1:6" x14ac:dyDescent="0.25">
      <c r="A12453" t="s">
        <v>711</v>
      </c>
      <c r="B12453" t="s">
        <v>8</v>
      </c>
      <c r="C12453" s="5" t="str">
        <f>" кв. "&amp;B12453</f>
        <v xml:space="preserve"> кв. 4</v>
      </c>
      <c r="D12453" s="5" t="str">
        <f>CONCATENATE(A12453,C12453)</f>
        <v>Фестивальная ул., дом 4 кв. 4</v>
      </c>
      <c r="E12453" s="3">
        <f>HYPERLINK("https://sao.dolgi.msk.ru/account/1404208574/", 1404208574)</f>
        <v>1404208574</v>
      </c>
      <c r="F12453">
        <v>2530.4</v>
      </c>
    </row>
    <row r="12454" spans="1:6" hidden="1" x14ac:dyDescent="0.25">
      <c r="A12454" t="s">
        <v>711</v>
      </c>
      <c r="B12454" t="s">
        <v>9</v>
      </c>
      <c r="E12454" s="3">
        <f>HYPERLINK("https://sao.dolgi.msk.ru/account/1404209382/", 1404209382)</f>
        <v>1404209382</v>
      </c>
      <c r="F12454">
        <v>0</v>
      </c>
    </row>
    <row r="12455" spans="1:6" hidden="1" x14ac:dyDescent="0.25">
      <c r="A12455" t="s">
        <v>711</v>
      </c>
      <c r="B12455" t="s">
        <v>10</v>
      </c>
      <c r="E12455" s="3">
        <f>HYPERLINK("https://sao.dolgi.msk.ru/account/1404209526/", 1404209526)</f>
        <v>1404209526</v>
      </c>
      <c r="F12455">
        <v>-1788.74</v>
      </c>
    </row>
    <row r="12456" spans="1:6" hidden="1" x14ac:dyDescent="0.25">
      <c r="A12456" t="s">
        <v>711</v>
      </c>
      <c r="B12456" t="s">
        <v>11</v>
      </c>
      <c r="E12456" s="3">
        <f>HYPERLINK("https://sao.dolgi.msk.ru/account/1404207715/", 1404207715)</f>
        <v>1404207715</v>
      </c>
      <c r="F12456">
        <v>0</v>
      </c>
    </row>
    <row r="12457" spans="1:6" x14ac:dyDescent="0.25">
      <c r="A12457" t="s">
        <v>711</v>
      </c>
      <c r="B12457" t="s">
        <v>12</v>
      </c>
      <c r="C12457" s="5" t="str">
        <f t="shared" ref="C12457:C12459" si="509">" кв. "&amp;B12457</f>
        <v xml:space="preserve"> кв. 8</v>
      </c>
      <c r="D12457" s="5" t="str">
        <f>CONCATENATE(A12457,C12457)</f>
        <v>Фестивальная ул., дом 4 кв. 8</v>
      </c>
      <c r="E12457" s="3">
        <f>HYPERLINK("https://sao.dolgi.msk.ru/account/1404209251/", 1404209251)</f>
        <v>1404209251</v>
      </c>
      <c r="F12457">
        <v>2527.2399999999998</v>
      </c>
    </row>
    <row r="12458" spans="1:6" x14ac:dyDescent="0.25">
      <c r="A12458" t="s">
        <v>711</v>
      </c>
      <c r="B12458" t="s">
        <v>13</v>
      </c>
      <c r="C12458" s="5" t="str">
        <f t="shared" si="509"/>
        <v xml:space="preserve"> кв. 9</v>
      </c>
      <c r="D12458" s="5" t="str">
        <f>CONCATENATE(A12458,C12458)</f>
        <v>Фестивальная ул., дом 4 кв. 9</v>
      </c>
      <c r="E12458" s="3">
        <f>HYPERLINK("https://sao.dolgi.msk.ru/account/1404207627/", 1404207627)</f>
        <v>1404207627</v>
      </c>
      <c r="F12458">
        <v>3166.16</v>
      </c>
    </row>
    <row r="12459" spans="1:6" x14ac:dyDescent="0.25">
      <c r="A12459" t="s">
        <v>711</v>
      </c>
      <c r="B12459" t="s">
        <v>14</v>
      </c>
      <c r="C12459" s="5" t="str">
        <f t="shared" si="509"/>
        <v xml:space="preserve"> кв. 10</v>
      </c>
      <c r="D12459" s="5" t="str">
        <f>CONCATENATE(A12459,C12459)</f>
        <v>Фестивальная ул., дом 4 кв. 10</v>
      </c>
      <c r="E12459" s="3">
        <f>HYPERLINK("https://sao.dolgi.msk.ru/account/1404208929/", 1404208929)</f>
        <v>1404208929</v>
      </c>
      <c r="F12459">
        <v>1227.24</v>
      </c>
    </row>
    <row r="12460" spans="1:6" hidden="1" x14ac:dyDescent="0.25">
      <c r="A12460" t="s">
        <v>711</v>
      </c>
      <c r="B12460" t="s">
        <v>15</v>
      </c>
      <c r="E12460" s="3">
        <f>HYPERLINK("https://sao.dolgi.msk.ru/account/1404209809/", 1404209809)</f>
        <v>1404209809</v>
      </c>
      <c r="F12460">
        <v>-3322.87</v>
      </c>
    </row>
    <row r="12461" spans="1:6" hidden="1" x14ac:dyDescent="0.25">
      <c r="A12461" t="s">
        <v>711</v>
      </c>
      <c r="B12461" t="s">
        <v>16</v>
      </c>
      <c r="E12461" s="3">
        <f>HYPERLINK("https://sao.dolgi.msk.ru/account/1404208355/", 1404208355)</f>
        <v>1404208355</v>
      </c>
      <c r="F12461">
        <v>-3683.79</v>
      </c>
    </row>
    <row r="12462" spans="1:6" hidden="1" x14ac:dyDescent="0.25">
      <c r="A12462" t="s">
        <v>711</v>
      </c>
      <c r="B12462" t="s">
        <v>17</v>
      </c>
      <c r="E12462" s="3">
        <f>HYPERLINK("https://sao.dolgi.msk.ru/account/1404209067/", 1404209067)</f>
        <v>1404209067</v>
      </c>
      <c r="F12462">
        <v>-4617.4399999999996</v>
      </c>
    </row>
    <row r="12463" spans="1:6" hidden="1" x14ac:dyDescent="0.25">
      <c r="A12463" t="s">
        <v>711</v>
      </c>
      <c r="B12463" t="s">
        <v>18</v>
      </c>
      <c r="E12463" s="3">
        <f>HYPERLINK("https://sao.dolgi.msk.ru/account/1404208259/", 1404208259)</f>
        <v>1404208259</v>
      </c>
      <c r="F12463">
        <v>-1026.0999999999999</v>
      </c>
    </row>
    <row r="12464" spans="1:6" x14ac:dyDescent="0.25">
      <c r="A12464" t="s">
        <v>711</v>
      </c>
      <c r="B12464" t="s">
        <v>19</v>
      </c>
      <c r="C12464" s="5" t="str">
        <f>" кв. "&amp;B12464</f>
        <v xml:space="preserve"> кв. 15</v>
      </c>
      <c r="D12464" s="5" t="str">
        <f>CONCATENATE(A12464,C12464)</f>
        <v>Фестивальная ул., дом 4 кв. 15</v>
      </c>
      <c r="E12464" s="3">
        <f>HYPERLINK("https://sao.dolgi.msk.ru/account/1404208072/", 1404208072)</f>
        <v>1404208072</v>
      </c>
      <c r="F12464">
        <v>1913.61</v>
      </c>
    </row>
    <row r="12465" spans="1:6" hidden="1" x14ac:dyDescent="0.25">
      <c r="A12465" t="s">
        <v>711</v>
      </c>
      <c r="B12465" t="s">
        <v>20</v>
      </c>
      <c r="E12465" s="3">
        <f>HYPERLINK("https://sao.dolgi.msk.ru/account/1404210148/", 1404210148)</f>
        <v>1404210148</v>
      </c>
      <c r="F12465">
        <v>0</v>
      </c>
    </row>
    <row r="12466" spans="1:6" hidden="1" x14ac:dyDescent="0.25">
      <c r="A12466" t="s">
        <v>711</v>
      </c>
      <c r="B12466" t="s">
        <v>21</v>
      </c>
      <c r="E12466" s="3">
        <f>HYPERLINK("https://sao.dolgi.msk.ru/account/1404209745/", 1404209745)</f>
        <v>1404209745</v>
      </c>
      <c r="F12466">
        <v>-4612.8100000000004</v>
      </c>
    </row>
    <row r="12467" spans="1:6" hidden="1" x14ac:dyDescent="0.25">
      <c r="A12467" t="s">
        <v>711</v>
      </c>
      <c r="B12467" t="s">
        <v>22</v>
      </c>
      <c r="E12467" s="3">
        <f>HYPERLINK("https://sao.dolgi.msk.ru/account/1404209972/", 1404209972)</f>
        <v>1404209972</v>
      </c>
      <c r="F12467">
        <v>-1788.74</v>
      </c>
    </row>
    <row r="12468" spans="1:6" hidden="1" x14ac:dyDescent="0.25">
      <c r="A12468" t="s">
        <v>711</v>
      </c>
      <c r="B12468" t="s">
        <v>23</v>
      </c>
      <c r="E12468" s="3">
        <f>HYPERLINK("https://sao.dolgi.msk.ru/account/1404206931/", 1404206931)</f>
        <v>1404206931</v>
      </c>
      <c r="F12468">
        <v>-2468.86</v>
      </c>
    </row>
    <row r="12469" spans="1:6" hidden="1" x14ac:dyDescent="0.25">
      <c r="A12469" t="s">
        <v>711</v>
      </c>
      <c r="B12469" t="s">
        <v>24</v>
      </c>
      <c r="E12469" s="3">
        <f>HYPERLINK("https://sao.dolgi.msk.ru/account/1404209921/", 1404209921)</f>
        <v>1404209921</v>
      </c>
      <c r="F12469">
        <v>-3697.66</v>
      </c>
    </row>
    <row r="12470" spans="1:6" hidden="1" x14ac:dyDescent="0.25">
      <c r="A12470" t="s">
        <v>711</v>
      </c>
      <c r="B12470" t="s">
        <v>25</v>
      </c>
      <c r="E12470" s="3">
        <f>HYPERLINK("https://sao.dolgi.msk.ru/account/1404209147/", 1404209147)</f>
        <v>1404209147</v>
      </c>
      <c r="F12470">
        <v>-4603.59</v>
      </c>
    </row>
    <row r="12471" spans="1:6" hidden="1" x14ac:dyDescent="0.25">
      <c r="A12471" t="s">
        <v>711</v>
      </c>
      <c r="B12471" t="s">
        <v>26</v>
      </c>
      <c r="E12471" s="3">
        <f>HYPERLINK("https://sao.dolgi.msk.ru/account/1404209649/", 1404209649)</f>
        <v>1404209649</v>
      </c>
      <c r="F12471">
        <v>-980.62</v>
      </c>
    </row>
    <row r="12472" spans="1:6" hidden="1" x14ac:dyDescent="0.25">
      <c r="A12472" t="s">
        <v>711</v>
      </c>
      <c r="B12472" t="s">
        <v>27</v>
      </c>
      <c r="E12472" s="3">
        <f>HYPERLINK("https://sao.dolgi.msk.ru/account/1404208363/", 1404208363)</f>
        <v>1404208363</v>
      </c>
      <c r="F12472">
        <v>0</v>
      </c>
    </row>
    <row r="12473" spans="1:6" hidden="1" x14ac:dyDescent="0.25">
      <c r="A12473" t="s">
        <v>711</v>
      </c>
      <c r="B12473" t="s">
        <v>28</v>
      </c>
      <c r="E12473" s="3">
        <f>HYPERLINK("https://sao.dolgi.msk.ru/account/1404208419/", 1404208419)</f>
        <v>1404208419</v>
      </c>
      <c r="F12473">
        <v>-3693.04</v>
      </c>
    </row>
    <row r="12474" spans="1:6" hidden="1" x14ac:dyDescent="0.25">
      <c r="A12474" t="s">
        <v>711</v>
      </c>
      <c r="B12474" t="s">
        <v>29</v>
      </c>
      <c r="E12474" s="3">
        <f>HYPERLINK("https://sao.dolgi.msk.ru/account/1404209358/", 1404209358)</f>
        <v>1404209358</v>
      </c>
      <c r="F12474">
        <v>-3522.69</v>
      </c>
    </row>
    <row r="12475" spans="1:6" hidden="1" x14ac:dyDescent="0.25">
      <c r="A12475" t="s">
        <v>711</v>
      </c>
      <c r="B12475" t="s">
        <v>30</v>
      </c>
      <c r="E12475" s="3">
        <f>HYPERLINK("https://sao.dolgi.msk.ru/account/1404207651/", 1404207651)</f>
        <v>1404207651</v>
      </c>
      <c r="F12475">
        <v>-1784.12</v>
      </c>
    </row>
    <row r="12476" spans="1:6" hidden="1" x14ac:dyDescent="0.25">
      <c r="A12476" t="s">
        <v>711</v>
      </c>
      <c r="B12476" t="s">
        <v>31</v>
      </c>
      <c r="E12476" s="3">
        <f>HYPERLINK("https://sao.dolgi.msk.ru/account/1404207248/", 1404207248)</f>
        <v>1404207248</v>
      </c>
      <c r="F12476">
        <v>-2033.7</v>
      </c>
    </row>
    <row r="12477" spans="1:6" x14ac:dyDescent="0.25">
      <c r="A12477" t="s">
        <v>711</v>
      </c>
      <c r="B12477" t="s">
        <v>32</v>
      </c>
      <c r="C12477" s="5" t="str">
        <f>" кв. "&amp;B12477</f>
        <v xml:space="preserve"> кв. 28</v>
      </c>
      <c r="D12477" s="5" t="str">
        <f>CONCATENATE(A12477,C12477)</f>
        <v>Фестивальная ул., дом 4 кв. 28</v>
      </c>
      <c r="E12477" s="3">
        <f>HYPERLINK("https://sao.dolgi.msk.ru/account/1404207272/", 1404207272)</f>
        <v>1404207272</v>
      </c>
      <c r="F12477">
        <v>1999.01</v>
      </c>
    </row>
    <row r="12478" spans="1:6" hidden="1" x14ac:dyDescent="0.25">
      <c r="A12478" t="s">
        <v>711</v>
      </c>
      <c r="B12478" t="s">
        <v>33</v>
      </c>
      <c r="E12478" s="3">
        <f>HYPERLINK("https://sao.dolgi.msk.ru/account/1404208646/", 1404208646)</f>
        <v>1404208646</v>
      </c>
      <c r="F12478">
        <v>-3892.52</v>
      </c>
    </row>
    <row r="12479" spans="1:6" x14ac:dyDescent="0.25">
      <c r="A12479" t="s">
        <v>711</v>
      </c>
      <c r="B12479" t="s">
        <v>34</v>
      </c>
      <c r="C12479" s="5" t="str">
        <f t="shared" ref="C12479:C12480" si="510">" кв. "&amp;B12479</f>
        <v xml:space="preserve"> кв. 30</v>
      </c>
      <c r="D12479" s="5" t="str">
        <f>CONCATENATE(A12479,C12479)</f>
        <v>Фестивальная ул., дом 4 кв. 30</v>
      </c>
      <c r="E12479" s="3">
        <f>HYPERLINK("https://sao.dolgi.msk.ru/account/1404210244/", 1404210244)</f>
        <v>1404210244</v>
      </c>
      <c r="F12479">
        <v>699.02</v>
      </c>
    </row>
    <row r="12480" spans="1:6" x14ac:dyDescent="0.25">
      <c r="A12480" t="s">
        <v>711</v>
      </c>
      <c r="B12480" t="s">
        <v>35</v>
      </c>
      <c r="C12480" s="5" t="str">
        <f t="shared" si="510"/>
        <v xml:space="preserve"> кв. 31</v>
      </c>
      <c r="D12480" s="5" t="str">
        <f>CONCATENATE(A12480,C12480)</f>
        <v>Фестивальная ул., дом 4 кв. 31</v>
      </c>
      <c r="E12480" s="3">
        <f>HYPERLINK("https://sao.dolgi.msk.ru/account/1404208654/", 1404208654)</f>
        <v>1404208654</v>
      </c>
      <c r="F12480">
        <v>2435.5100000000002</v>
      </c>
    </row>
    <row r="12481" spans="1:6" hidden="1" x14ac:dyDescent="0.25">
      <c r="A12481" t="s">
        <v>711</v>
      </c>
      <c r="B12481" t="s">
        <v>36</v>
      </c>
      <c r="E12481" s="3">
        <f>HYPERLINK("https://sao.dolgi.msk.ru/account/1404209446/", 1404209446)</f>
        <v>1404209446</v>
      </c>
      <c r="F12481">
        <v>-3674.55</v>
      </c>
    </row>
    <row r="12482" spans="1:6" hidden="1" x14ac:dyDescent="0.25">
      <c r="A12482" t="s">
        <v>711</v>
      </c>
      <c r="B12482" t="s">
        <v>37</v>
      </c>
      <c r="E12482" s="3">
        <f>HYPERLINK("https://sao.dolgi.msk.ru/account/1404207344/", 1404207344)</f>
        <v>1404207344</v>
      </c>
      <c r="F12482">
        <v>-4622.0600000000004</v>
      </c>
    </row>
    <row r="12483" spans="1:6" x14ac:dyDescent="0.25">
      <c r="A12483" t="s">
        <v>711</v>
      </c>
      <c r="B12483" t="s">
        <v>38</v>
      </c>
      <c r="C12483" s="5" t="str">
        <f>" кв. "&amp;B12483</f>
        <v xml:space="preserve"> кв. 34</v>
      </c>
      <c r="D12483" s="5" t="str">
        <f>CONCATENATE(A12483,C12483)</f>
        <v>Фестивальная ул., дом 4 кв. 34</v>
      </c>
      <c r="E12483" s="3">
        <f>HYPERLINK("https://sao.dolgi.msk.ru/account/1404207352/", 1404207352)</f>
        <v>1404207352</v>
      </c>
      <c r="F12483">
        <v>1230.4100000000001</v>
      </c>
    </row>
    <row r="12484" spans="1:6" hidden="1" x14ac:dyDescent="0.25">
      <c r="A12484" t="s">
        <v>711</v>
      </c>
      <c r="B12484" t="s">
        <v>39</v>
      </c>
      <c r="E12484" s="3">
        <f>HYPERLINK("https://sao.dolgi.msk.ru/account/1404209112/", 1404209112)</f>
        <v>1404209112</v>
      </c>
      <c r="F12484">
        <v>0</v>
      </c>
    </row>
    <row r="12485" spans="1:6" hidden="1" x14ac:dyDescent="0.25">
      <c r="A12485" t="s">
        <v>711</v>
      </c>
      <c r="B12485" t="s">
        <v>40</v>
      </c>
      <c r="E12485" s="3">
        <f>HYPERLINK("https://sao.dolgi.msk.ru/account/1404207846/", 1404207846)</f>
        <v>1404207846</v>
      </c>
      <c r="F12485">
        <v>-3513.83</v>
      </c>
    </row>
    <row r="12486" spans="1:6" x14ac:dyDescent="0.25">
      <c r="A12486" t="s">
        <v>711</v>
      </c>
      <c r="B12486" t="s">
        <v>41</v>
      </c>
      <c r="C12486" s="5" t="str">
        <f>" кв. "&amp;B12486</f>
        <v xml:space="preserve"> кв. 37</v>
      </c>
      <c r="D12486" s="5" t="str">
        <f>CONCATENATE(A12486,C12486)</f>
        <v>Фестивальная ул., дом 4 кв. 37</v>
      </c>
      <c r="E12486" s="3">
        <f>HYPERLINK("https://sao.dolgi.msk.ru/account/1404206886/", 1404206886)</f>
        <v>1404206886</v>
      </c>
      <c r="F12486">
        <v>3163</v>
      </c>
    </row>
    <row r="12487" spans="1:6" hidden="1" x14ac:dyDescent="0.25">
      <c r="A12487" t="s">
        <v>711</v>
      </c>
      <c r="B12487" t="s">
        <v>42</v>
      </c>
      <c r="E12487" s="3">
        <f>HYPERLINK("https://sao.dolgi.msk.ru/account/1404206878/", 1404206878)</f>
        <v>1404206878</v>
      </c>
      <c r="F12487">
        <v>-1784.12</v>
      </c>
    </row>
    <row r="12488" spans="1:6" hidden="1" x14ac:dyDescent="0.25">
      <c r="A12488" t="s">
        <v>711</v>
      </c>
      <c r="B12488" t="s">
        <v>43</v>
      </c>
      <c r="E12488" s="3">
        <f>HYPERLINK("https://sao.dolgi.msk.ru/account/1404208478/", 1404208478)</f>
        <v>1404208478</v>
      </c>
      <c r="F12488">
        <v>0</v>
      </c>
    </row>
    <row r="12489" spans="1:6" hidden="1" x14ac:dyDescent="0.25">
      <c r="A12489" t="s">
        <v>711</v>
      </c>
      <c r="B12489" t="s">
        <v>44</v>
      </c>
      <c r="E12489" s="3">
        <f>HYPERLINK("https://sao.dolgi.msk.ru/account/1404208582/", 1404208582)</f>
        <v>1404208582</v>
      </c>
      <c r="F12489">
        <v>0</v>
      </c>
    </row>
    <row r="12490" spans="1:6" hidden="1" x14ac:dyDescent="0.25">
      <c r="A12490" t="s">
        <v>711</v>
      </c>
      <c r="B12490" t="s">
        <v>45</v>
      </c>
      <c r="E12490" s="3">
        <f>HYPERLINK("https://sao.dolgi.msk.ru/account/1404207192/", 1404207192)</f>
        <v>1404207192</v>
      </c>
      <c r="F12490">
        <v>-4617.4399999999996</v>
      </c>
    </row>
    <row r="12491" spans="1:6" hidden="1" x14ac:dyDescent="0.25">
      <c r="A12491" t="s">
        <v>711</v>
      </c>
      <c r="B12491" t="s">
        <v>46</v>
      </c>
      <c r="E12491" s="3">
        <f>HYPERLINK("https://sao.dolgi.msk.ru/account/1404207678/", 1404207678)</f>
        <v>1404207678</v>
      </c>
      <c r="F12491">
        <v>-1788.74</v>
      </c>
    </row>
    <row r="12492" spans="1:6" hidden="1" x14ac:dyDescent="0.25">
      <c r="A12492" t="s">
        <v>711</v>
      </c>
      <c r="B12492" t="s">
        <v>47</v>
      </c>
      <c r="E12492" s="3">
        <f>HYPERLINK("https://sao.dolgi.msk.ru/account/1404207205/", 1404207205)</f>
        <v>1404207205</v>
      </c>
      <c r="F12492">
        <v>-3558.99</v>
      </c>
    </row>
    <row r="12493" spans="1:6" hidden="1" x14ac:dyDescent="0.25">
      <c r="A12493" t="s">
        <v>711</v>
      </c>
      <c r="B12493" t="s">
        <v>48</v>
      </c>
      <c r="E12493" s="3">
        <f>HYPERLINK("https://sao.dolgi.msk.ru/account/1404210201/", 1404210201)</f>
        <v>1404210201</v>
      </c>
      <c r="F12493">
        <v>-3693.04</v>
      </c>
    </row>
    <row r="12494" spans="1:6" hidden="1" x14ac:dyDescent="0.25">
      <c r="A12494" t="s">
        <v>711</v>
      </c>
      <c r="B12494" t="s">
        <v>49</v>
      </c>
      <c r="E12494" s="3">
        <f>HYPERLINK("https://sao.dolgi.msk.ru/account/1404210228/", 1404210228)</f>
        <v>1404210228</v>
      </c>
      <c r="F12494">
        <v>-4598.97</v>
      </c>
    </row>
    <row r="12495" spans="1:6" x14ac:dyDescent="0.25">
      <c r="A12495" t="s">
        <v>711</v>
      </c>
      <c r="B12495" t="s">
        <v>50</v>
      </c>
      <c r="C12495" s="5" t="str">
        <f>" кв. "&amp;B12495</f>
        <v xml:space="preserve"> кв. 46</v>
      </c>
      <c r="D12495" s="5" t="str">
        <f>CONCATENATE(A12495,C12495)</f>
        <v>Фестивальная ул., дом 4 кв. 46</v>
      </c>
      <c r="E12495" s="3">
        <f>HYPERLINK("https://sao.dolgi.msk.ru/account/1404208996/", 1404208996)</f>
        <v>1404208996</v>
      </c>
      <c r="F12495">
        <v>1220.92</v>
      </c>
    </row>
    <row r="12496" spans="1:6" hidden="1" x14ac:dyDescent="0.25">
      <c r="A12496" t="s">
        <v>711</v>
      </c>
      <c r="B12496" t="s">
        <v>51</v>
      </c>
      <c r="E12496" s="3">
        <f>HYPERLINK("https://sao.dolgi.msk.ru/account/1404207213/", 1404207213)</f>
        <v>1404207213</v>
      </c>
      <c r="F12496">
        <v>0</v>
      </c>
    </row>
    <row r="12497" spans="1:6" x14ac:dyDescent="0.25">
      <c r="A12497" t="s">
        <v>711</v>
      </c>
      <c r="B12497" t="s">
        <v>52</v>
      </c>
      <c r="C12497" s="5" t="str">
        <f>" кв. "&amp;B12497</f>
        <v xml:space="preserve"> кв. 48</v>
      </c>
      <c r="D12497" s="5" t="str">
        <f>CONCATENATE(A12497,C12497)</f>
        <v>Фестивальная ул., дом 4 кв. 48</v>
      </c>
      <c r="E12497" s="3">
        <f>HYPERLINK("https://sao.dolgi.msk.ru/account/1404207221/", 1404207221)</f>
        <v>1404207221</v>
      </c>
      <c r="F12497">
        <v>2520.91</v>
      </c>
    </row>
    <row r="12498" spans="1:6" hidden="1" x14ac:dyDescent="0.25">
      <c r="A12498" t="s">
        <v>711</v>
      </c>
      <c r="B12498" t="s">
        <v>53</v>
      </c>
      <c r="E12498" s="3">
        <f>HYPERLINK("https://sao.dolgi.msk.ru/account/1404209008/", 1404209008)</f>
        <v>1404209008</v>
      </c>
      <c r="F12498">
        <v>-4659.04</v>
      </c>
    </row>
    <row r="12499" spans="1:6" hidden="1" x14ac:dyDescent="0.25">
      <c r="A12499" t="s">
        <v>711</v>
      </c>
      <c r="B12499" t="s">
        <v>54</v>
      </c>
      <c r="E12499" s="3">
        <f>HYPERLINK("https://sao.dolgi.msk.ru/account/1404209817/", 1404209817)</f>
        <v>1404209817</v>
      </c>
      <c r="F12499">
        <v>0</v>
      </c>
    </row>
    <row r="12500" spans="1:6" hidden="1" x14ac:dyDescent="0.25">
      <c r="A12500" t="s">
        <v>711</v>
      </c>
      <c r="B12500" t="s">
        <v>55</v>
      </c>
      <c r="E12500" s="3">
        <f>HYPERLINK("https://sao.dolgi.msk.ru/account/1404208603/", 1404208603)</f>
        <v>1404208603</v>
      </c>
      <c r="F12500">
        <v>-3024.51</v>
      </c>
    </row>
    <row r="12501" spans="1:6" hidden="1" x14ac:dyDescent="0.25">
      <c r="A12501" t="s">
        <v>711</v>
      </c>
      <c r="B12501" t="s">
        <v>56</v>
      </c>
      <c r="E12501" s="3">
        <f>HYPERLINK("https://sao.dolgi.msk.ru/account/1404209403/", 1404209403)</f>
        <v>1404209403</v>
      </c>
      <c r="F12501">
        <v>-3110.14</v>
      </c>
    </row>
    <row r="12502" spans="1:6" hidden="1" x14ac:dyDescent="0.25">
      <c r="A12502" t="s">
        <v>711</v>
      </c>
      <c r="B12502" t="s">
        <v>57</v>
      </c>
      <c r="E12502" s="3">
        <f>HYPERLINK("https://sao.dolgi.msk.ru/account/1404207686/", 1404207686)</f>
        <v>1404207686</v>
      </c>
      <c r="F12502">
        <v>-4645.18</v>
      </c>
    </row>
    <row r="12503" spans="1:6" x14ac:dyDescent="0.25">
      <c r="A12503" t="s">
        <v>711</v>
      </c>
      <c r="B12503" t="s">
        <v>59</v>
      </c>
      <c r="C12503" s="5" t="str">
        <f t="shared" ref="C12503:C12504" si="511">" кв. "&amp;B12503</f>
        <v xml:space="preserve"> кв. 55</v>
      </c>
      <c r="D12503" s="5" t="str">
        <f>CONCATENATE(A12503,C12503)</f>
        <v>Фестивальная ул., дом 4 кв. 55</v>
      </c>
      <c r="E12503" s="3">
        <f>HYPERLINK("https://sao.dolgi.msk.ru/account/1404209892/", 1404209892)</f>
        <v>1404209892</v>
      </c>
      <c r="F12503">
        <v>3675.41</v>
      </c>
    </row>
    <row r="12504" spans="1:6" x14ac:dyDescent="0.25">
      <c r="A12504" t="s">
        <v>711</v>
      </c>
      <c r="B12504" t="s">
        <v>60</v>
      </c>
      <c r="C12504" s="5" t="str">
        <f t="shared" si="511"/>
        <v xml:space="preserve"> кв. 56</v>
      </c>
      <c r="D12504" s="5" t="str">
        <f>CONCATENATE(A12504,C12504)</f>
        <v>Фестивальная ул., дом 4 кв. 56</v>
      </c>
      <c r="E12504" s="3">
        <f>HYPERLINK("https://sao.dolgi.msk.ru/account/1404208275/", 1404208275)</f>
        <v>1404208275</v>
      </c>
      <c r="F12504">
        <v>2530.4</v>
      </c>
    </row>
    <row r="12505" spans="1:6" hidden="1" x14ac:dyDescent="0.25">
      <c r="A12505" t="s">
        <v>711</v>
      </c>
      <c r="B12505" t="s">
        <v>61</v>
      </c>
      <c r="E12505" s="3">
        <f>HYPERLINK("https://sao.dolgi.msk.ru/account/1404210295/", 1404210295)</f>
        <v>1404210295</v>
      </c>
      <c r="F12505">
        <v>-3592.03</v>
      </c>
    </row>
    <row r="12506" spans="1:6" x14ac:dyDescent="0.25">
      <c r="A12506" t="s">
        <v>711</v>
      </c>
      <c r="B12506" t="s">
        <v>62</v>
      </c>
      <c r="C12506" s="5" t="str">
        <f>" кв. "&amp;B12506</f>
        <v xml:space="preserve"> кв. 58</v>
      </c>
      <c r="D12506" s="5" t="str">
        <f>CONCATENATE(A12506,C12506)</f>
        <v>Фестивальная ул., дом 4 кв. 58</v>
      </c>
      <c r="E12506" s="3">
        <f>HYPERLINK("https://sao.dolgi.msk.ru/account/1404208718/", 1404208718)</f>
        <v>1404208718</v>
      </c>
      <c r="F12506">
        <v>1246.22</v>
      </c>
    </row>
    <row r="12507" spans="1:6" hidden="1" x14ac:dyDescent="0.25">
      <c r="A12507" t="s">
        <v>711</v>
      </c>
      <c r="B12507" t="s">
        <v>63</v>
      </c>
      <c r="E12507" s="3">
        <f>HYPERLINK("https://sao.dolgi.msk.ru/account/1404208726/", 1404208726)</f>
        <v>1404208726</v>
      </c>
      <c r="F12507">
        <v>0</v>
      </c>
    </row>
    <row r="12508" spans="1:6" hidden="1" x14ac:dyDescent="0.25">
      <c r="A12508" t="s">
        <v>711</v>
      </c>
      <c r="B12508" t="s">
        <v>64</v>
      </c>
      <c r="E12508" s="3">
        <f>HYPERLINK("https://sao.dolgi.msk.ru/account/1404209905/", 1404209905)</f>
        <v>1404209905</v>
      </c>
      <c r="F12508">
        <v>-2948.89</v>
      </c>
    </row>
    <row r="12509" spans="1:6" hidden="1" x14ac:dyDescent="0.25">
      <c r="A12509" t="s">
        <v>711</v>
      </c>
      <c r="B12509" t="s">
        <v>65</v>
      </c>
      <c r="E12509" s="3">
        <f>HYPERLINK("https://sao.dolgi.msk.ru/account/1404209913/", 1404209913)</f>
        <v>1404209913</v>
      </c>
      <c r="F12509">
        <v>-4603.59</v>
      </c>
    </row>
    <row r="12510" spans="1:6" hidden="1" x14ac:dyDescent="0.25">
      <c r="A12510" t="s">
        <v>711</v>
      </c>
      <c r="B12510" t="s">
        <v>66</v>
      </c>
      <c r="E12510" s="3">
        <f>HYPERLINK("https://sao.dolgi.msk.ru/account/1404207328/", 1404207328)</f>
        <v>1404207328</v>
      </c>
      <c r="F12510">
        <v>-988.4</v>
      </c>
    </row>
    <row r="12511" spans="1:6" hidden="1" x14ac:dyDescent="0.25">
      <c r="A12511" t="s">
        <v>711</v>
      </c>
      <c r="B12511" t="s">
        <v>67</v>
      </c>
      <c r="E12511" s="3">
        <f>HYPERLINK("https://sao.dolgi.msk.ru/account/1404207811/", 1404207811)</f>
        <v>1404207811</v>
      </c>
      <c r="F12511">
        <v>0</v>
      </c>
    </row>
    <row r="12512" spans="1:6" hidden="1" x14ac:dyDescent="0.25">
      <c r="A12512" t="s">
        <v>711</v>
      </c>
      <c r="B12512" t="s">
        <v>68</v>
      </c>
      <c r="E12512" s="3">
        <f>HYPERLINK("https://sao.dolgi.msk.ru/account/1404207336/", 1404207336)</f>
        <v>1404207336</v>
      </c>
      <c r="F12512">
        <v>-5135.22</v>
      </c>
    </row>
    <row r="12513" spans="1:6" hidden="1" x14ac:dyDescent="0.25">
      <c r="A12513" t="s">
        <v>711</v>
      </c>
      <c r="B12513" t="s">
        <v>69</v>
      </c>
      <c r="E12513" s="3">
        <f>HYPERLINK("https://sao.dolgi.msk.ru/account/1404209534/", 1404209534)</f>
        <v>1404209534</v>
      </c>
      <c r="F12513">
        <v>0</v>
      </c>
    </row>
    <row r="12514" spans="1:6" hidden="1" x14ac:dyDescent="0.25">
      <c r="A12514" t="s">
        <v>711</v>
      </c>
      <c r="B12514" t="s">
        <v>70</v>
      </c>
      <c r="E12514" s="3">
        <f>HYPERLINK("https://sao.dolgi.msk.ru/account/1404207838/", 1404207838)</f>
        <v>1404207838</v>
      </c>
      <c r="F12514">
        <v>-1793.36</v>
      </c>
    </row>
    <row r="12515" spans="1:6" hidden="1" x14ac:dyDescent="0.25">
      <c r="A12515" t="s">
        <v>711</v>
      </c>
      <c r="B12515" t="s">
        <v>71</v>
      </c>
      <c r="E12515" s="3">
        <f>HYPERLINK("https://sao.dolgi.msk.ru/account/1404208734/", 1404208734)</f>
        <v>1404208734</v>
      </c>
      <c r="F12515">
        <v>-1135.1600000000001</v>
      </c>
    </row>
    <row r="12516" spans="1:6" hidden="1" x14ac:dyDescent="0.25">
      <c r="A12516" t="s">
        <v>711</v>
      </c>
      <c r="B12516" t="s">
        <v>72</v>
      </c>
      <c r="E12516" s="3">
        <f>HYPERLINK("https://sao.dolgi.msk.ru/account/1404209825/", 1404209825)</f>
        <v>1404209825</v>
      </c>
      <c r="F12516">
        <v>-2944.27</v>
      </c>
    </row>
    <row r="12517" spans="1:6" x14ac:dyDescent="0.25">
      <c r="A12517" t="s">
        <v>711</v>
      </c>
      <c r="B12517" t="s">
        <v>73</v>
      </c>
      <c r="C12517" s="5" t="str">
        <f>" кв. "&amp;B12517</f>
        <v xml:space="preserve"> кв. 69</v>
      </c>
      <c r="D12517" s="5" t="str">
        <f>CONCATENATE(A12517,C12517)</f>
        <v>Фестивальная ул., дом 4 кв. 69</v>
      </c>
      <c r="E12517" s="3">
        <f>HYPERLINK("https://sao.dolgi.msk.ru/account/1404208216/", 1404208216)</f>
        <v>1404208216</v>
      </c>
      <c r="F12517">
        <v>2400.7199999999998</v>
      </c>
    </row>
    <row r="12518" spans="1:6" hidden="1" x14ac:dyDescent="0.25">
      <c r="A12518" t="s">
        <v>711</v>
      </c>
      <c r="B12518" t="s">
        <v>74</v>
      </c>
      <c r="E12518" s="3">
        <f>HYPERLINK("https://sao.dolgi.msk.ru/account/1404209833/", 1404209833)</f>
        <v>1404209833</v>
      </c>
      <c r="F12518">
        <v>-836.04</v>
      </c>
    </row>
    <row r="12519" spans="1:6" hidden="1" x14ac:dyDescent="0.25">
      <c r="A12519" t="s">
        <v>711</v>
      </c>
      <c r="B12519" t="s">
        <v>75</v>
      </c>
      <c r="E12519" s="3">
        <f>HYPERLINK("https://sao.dolgi.msk.ru/account/1404207723/", 1404207723)</f>
        <v>1404207723</v>
      </c>
      <c r="F12519">
        <v>-3572.86</v>
      </c>
    </row>
    <row r="12520" spans="1:6" hidden="1" x14ac:dyDescent="0.25">
      <c r="A12520" t="s">
        <v>711</v>
      </c>
      <c r="B12520" t="s">
        <v>76</v>
      </c>
      <c r="E12520" s="3">
        <f>HYPERLINK("https://sao.dolgi.msk.ru/account/1404209454/", 1404209454)</f>
        <v>1404209454</v>
      </c>
      <c r="F12520">
        <v>-3646.81</v>
      </c>
    </row>
    <row r="12521" spans="1:6" hidden="1" x14ac:dyDescent="0.25">
      <c r="A12521" t="s">
        <v>711</v>
      </c>
      <c r="B12521" t="s">
        <v>77</v>
      </c>
      <c r="E12521" s="3">
        <f>HYPERLINK("https://sao.dolgi.msk.ru/account/1404207731/", 1404207731)</f>
        <v>1404207731</v>
      </c>
      <c r="F12521">
        <v>-3314.83</v>
      </c>
    </row>
    <row r="12522" spans="1:6" hidden="1" x14ac:dyDescent="0.25">
      <c r="A12522" t="s">
        <v>711</v>
      </c>
      <c r="B12522" t="s">
        <v>78</v>
      </c>
      <c r="E12522" s="3">
        <f>HYPERLINK("https://sao.dolgi.msk.ru/account/1404208224/", 1404208224)</f>
        <v>1404208224</v>
      </c>
      <c r="F12522">
        <v>-2407.6999999999998</v>
      </c>
    </row>
    <row r="12523" spans="1:6" hidden="1" x14ac:dyDescent="0.25">
      <c r="A12523" t="s">
        <v>711</v>
      </c>
      <c r="B12523" t="s">
        <v>79</v>
      </c>
      <c r="E12523" s="3">
        <f>HYPERLINK("https://sao.dolgi.msk.ru/account/1404209841/", 1404209841)</f>
        <v>1404209841</v>
      </c>
      <c r="F12523">
        <v>0</v>
      </c>
    </row>
    <row r="12524" spans="1:6" hidden="1" x14ac:dyDescent="0.25">
      <c r="A12524" t="s">
        <v>711</v>
      </c>
      <c r="B12524" t="s">
        <v>80</v>
      </c>
      <c r="E12524" s="3">
        <f>HYPERLINK("https://sao.dolgi.msk.ru/account/1404207299/", 1404207299)</f>
        <v>1404207299</v>
      </c>
      <c r="F12524">
        <v>-3642.18</v>
      </c>
    </row>
    <row r="12525" spans="1:6" hidden="1" x14ac:dyDescent="0.25">
      <c r="A12525" t="s">
        <v>711</v>
      </c>
      <c r="B12525" t="s">
        <v>81</v>
      </c>
      <c r="E12525" s="3">
        <f>HYPERLINK("https://sao.dolgi.msk.ru/account/1404210252/", 1404210252)</f>
        <v>1404210252</v>
      </c>
      <c r="F12525">
        <v>-3498.91</v>
      </c>
    </row>
    <row r="12526" spans="1:6" x14ac:dyDescent="0.25">
      <c r="A12526" t="s">
        <v>711</v>
      </c>
      <c r="B12526" t="s">
        <v>82</v>
      </c>
      <c r="C12526" s="5" t="str">
        <f>" кв. "&amp;B12526</f>
        <v xml:space="preserve"> кв. 78</v>
      </c>
      <c r="D12526" s="5" t="str">
        <f>CONCATENATE(A12526,C12526)</f>
        <v>Фестивальная ул., дом 4 кв. 78</v>
      </c>
      <c r="E12526" s="3">
        <f>HYPERLINK("https://sao.dolgi.msk.ru/account/1404207758/", 1404207758)</f>
        <v>1404207758</v>
      </c>
      <c r="F12526">
        <v>1815.56</v>
      </c>
    </row>
    <row r="12527" spans="1:6" hidden="1" x14ac:dyDescent="0.25">
      <c r="A12527" t="s">
        <v>711</v>
      </c>
      <c r="B12527" t="s">
        <v>83</v>
      </c>
      <c r="E12527" s="3">
        <f>HYPERLINK("https://sao.dolgi.msk.ru/account/1404209059/", 1404209059)</f>
        <v>1404209059</v>
      </c>
      <c r="F12527">
        <v>-3568.24</v>
      </c>
    </row>
    <row r="12528" spans="1:6" hidden="1" x14ac:dyDescent="0.25">
      <c r="A12528" t="s">
        <v>711</v>
      </c>
      <c r="B12528" t="s">
        <v>84</v>
      </c>
      <c r="E12528" s="3">
        <f>HYPERLINK("https://sao.dolgi.msk.ru/account/1404207125/", 1404207125)</f>
        <v>1404207125</v>
      </c>
      <c r="F12528">
        <v>-3043.18</v>
      </c>
    </row>
    <row r="12529" spans="1:6" hidden="1" x14ac:dyDescent="0.25">
      <c r="A12529" t="s">
        <v>711</v>
      </c>
      <c r="B12529" t="s">
        <v>85</v>
      </c>
      <c r="E12529" s="3">
        <f>HYPERLINK("https://sao.dolgi.msk.ru/account/1404210156/", 1404210156)</f>
        <v>1404210156</v>
      </c>
      <c r="F12529">
        <v>-3494.29</v>
      </c>
    </row>
    <row r="12530" spans="1:6" hidden="1" x14ac:dyDescent="0.25">
      <c r="A12530" t="s">
        <v>711</v>
      </c>
      <c r="B12530" t="s">
        <v>86</v>
      </c>
      <c r="E12530" s="3">
        <f>HYPERLINK("https://sao.dolgi.msk.ru/account/1404210164/", 1404210164)</f>
        <v>1404210164</v>
      </c>
      <c r="F12530">
        <v>0</v>
      </c>
    </row>
    <row r="12531" spans="1:6" hidden="1" x14ac:dyDescent="0.25">
      <c r="A12531" t="s">
        <v>711</v>
      </c>
      <c r="B12531" t="s">
        <v>87</v>
      </c>
      <c r="E12531" s="3">
        <f>HYPERLINK("https://sao.dolgi.msk.ru/account/1404209278/", 1404209278)</f>
        <v>1404209278</v>
      </c>
      <c r="F12531">
        <v>-1120.56</v>
      </c>
    </row>
    <row r="12532" spans="1:6" hidden="1" x14ac:dyDescent="0.25">
      <c r="A12532" t="s">
        <v>711</v>
      </c>
      <c r="B12532" t="s">
        <v>88</v>
      </c>
      <c r="E12532" s="3">
        <f>HYPERLINK("https://sao.dolgi.msk.ru/account/1404207598/", 1404207598)</f>
        <v>1404207598</v>
      </c>
      <c r="F12532">
        <v>0</v>
      </c>
    </row>
    <row r="12533" spans="1:6" hidden="1" x14ac:dyDescent="0.25">
      <c r="A12533" t="s">
        <v>711</v>
      </c>
      <c r="B12533" t="s">
        <v>89</v>
      </c>
      <c r="E12533" s="3">
        <f>HYPERLINK("https://sao.dolgi.msk.ru/account/1404208486/", 1404208486)</f>
        <v>1404208486</v>
      </c>
      <c r="F12533">
        <v>0</v>
      </c>
    </row>
    <row r="12534" spans="1:6" hidden="1" x14ac:dyDescent="0.25">
      <c r="A12534" t="s">
        <v>711</v>
      </c>
      <c r="B12534" t="s">
        <v>90</v>
      </c>
      <c r="E12534" s="3">
        <f>HYPERLINK("https://sao.dolgi.msk.ru/account/1404209286/", 1404209286)</f>
        <v>1404209286</v>
      </c>
      <c r="F12534">
        <v>-2685.42</v>
      </c>
    </row>
    <row r="12535" spans="1:6" hidden="1" x14ac:dyDescent="0.25">
      <c r="A12535" t="s">
        <v>711</v>
      </c>
      <c r="B12535" t="s">
        <v>91</v>
      </c>
      <c r="E12535" s="3">
        <f>HYPERLINK("https://sao.dolgi.msk.ru/account/1404207619/", 1404207619)</f>
        <v>1404207619</v>
      </c>
      <c r="F12535">
        <v>-3294.54</v>
      </c>
    </row>
    <row r="12536" spans="1:6" hidden="1" x14ac:dyDescent="0.25">
      <c r="A12536" t="s">
        <v>711</v>
      </c>
      <c r="B12536" t="s">
        <v>92</v>
      </c>
      <c r="E12536" s="3">
        <f>HYPERLINK("https://sao.dolgi.msk.ru/account/1404208128/", 1404208128)</f>
        <v>1404208128</v>
      </c>
      <c r="F12536">
        <v>-2489.8200000000002</v>
      </c>
    </row>
    <row r="12537" spans="1:6" hidden="1" x14ac:dyDescent="0.25">
      <c r="A12537" t="s">
        <v>711</v>
      </c>
      <c r="B12537" t="s">
        <v>93</v>
      </c>
      <c r="E12537" s="3">
        <f>HYPERLINK("https://sao.dolgi.msk.ru/account/1404208136/", 1404208136)</f>
        <v>1404208136</v>
      </c>
      <c r="F12537">
        <v>0</v>
      </c>
    </row>
    <row r="12538" spans="1:6" hidden="1" x14ac:dyDescent="0.25">
      <c r="A12538" t="s">
        <v>711</v>
      </c>
      <c r="B12538" t="s">
        <v>94</v>
      </c>
      <c r="E12538" s="3">
        <f>HYPERLINK("https://sao.dolgi.msk.ru/account/1404209294/", 1404209294)</f>
        <v>1404209294</v>
      </c>
      <c r="F12538">
        <v>0</v>
      </c>
    </row>
    <row r="12539" spans="1:6" hidden="1" x14ac:dyDescent="0.25">
      <c r="A12539" t="s">
        <v>711</v>
      </c>
      <c r="B12539" t="s">
        <v>95</v>
      </c>
      <c r="E12539" s="3">
        <f>HYPERLINK("https://sao.dolgi.msk.ru/account/1404208902/", 1404208902)</f>
        <v>1404208902</v>
      </c>
      <c r="F12539">
        <v>-3586.73</v>
      </c>
    </row>
    <row r="12540" spans="1:6" x14ac:dyDescent="0.25">
      <c r="A12540" t="s">
        <v>711</v>
      </c>
      <c r="B12540" t="s">
        <v>96</v>
      </c>
      <c r="C12540" s="5" t="str">
        <f>" кв. "&amp;B12540</f>
        <v xml:space="preserve"> кв. 92</v>
      </c>
      <c r="D12540" s="5" t="str">
        <f>CONCATENATE(A12540,C12540)</f>
        <v>Фестивальная ул., дом 4 кв. 92</v>
      </c>
      <c r="E12540" s="3">
        <f>HYPERLINK("https://sao.dolgi.msk.ru/account/1404209307/", 1404209307)</f>
        <v>1404209307</v>
      </c>
      <c r="F12540">
        <v>2508.2600000000002</v>
      </c>
    </row>
    <row r="12541" spans="1:6" hidden="1" x14ac:dyDescent="0.25">
      <c r="A12541" t="s">
        <v>711</v>
      </c>
      <c r="B12541" t="s">
        <v>97</v>
      </c>
      <c r="E12541" s="3">
        <f>HYPERLINK("https://sao.dolgi.msk.ru/account/1404209315/", 1404209315)</f>
        <v>1404209315</v>
      </c>
      <c r="F12541">
        <v>0</v>
      </c>
    </row>
    <row r="12542" spans="1:6" hidden="1" x14ac:dyDescent="0.25">
      <c r="A12542" t="s">
        <v>711</v>
      </c>
      <c r="B12542" t="s">
        <v>98</v>
      </c>
      <c r="E12542" s="3">
        <f>HYPERLINK("https://sao.dolgi.msk.ru/account/1404206966/", 1404206966)</f>
        <v>1404206966</v>
      </c>
      <c r="F12542">
        <v>-2671.55</v>
      </c>
    </row>
    <row r="12543" spans="1:6" hidden="1" x14ac:dyDescent="0.25">
      <c r="A12543" t="s">
        <v>711</v>
      </c>
      <c r="B12543" t="s">
        <v>99</v>
      </c>
      <c r="E12543" s="3">
        <f>HYPERLINK("https://sao.dolgi.msk.ru/account/1404208312/", 1404208312)</f>
        <v>1404208312</v>
      </c>
      <c r="F12543">
        <v>0</v>
      </c>
    </row>
    <row r="12544" spans="1:6" hidden="1" x14ac:dyDescent="0.25">
      <c r="A12544" t="s">
        <v>711</v>
      </c>
      <c r="B12544" t="s">
        <v>100</v>
      </c>
      <c r="E12544" s="3">
        <f>HYPERLINK("https://sao.dolgi.msk.ru/account/1404208339/", 1404208339)</f>
        <v>1404208339</v>
      </c>
      <c r="F12544">
        <v>-3660.68</v>
      </c>
    </row>
    <row r="12545" spans="1:6" hidden="1" x14ac:dyDescent="0.25">
      <c r="A12545" t="s">
        <v>711</v>
      </c>
      <c r="B12545" t="s">
        <v>101</v>
      </c>
      <c r="E12545" s="3">
        <f>HYPERLINK("https://sao.dolgi.msk.ru/account/1404206974/", 1404206974)</f>
        <v>1404206974</v>
      </c>
      <c r="F12545">
        <v>-2977.78</v>
      </c>
    </row>
    <row r="12546" spans="1:6" hidden="1" x14ac:dyDescent="0.25">
      <c r="A12546" t="s">
        <v>711</v>
      </c>
      <c r="B12546" t="s">
        <v>102</v>
      </c>
      <c r="E12546" s="3">
        <f>HYPERLINK("https://sao.dolgi.msk.ru/account/1404208347/", 1404208347)</f>
        <v>1404208347</v>
      </c>
      <c r="F12546">
        <v>-2676.18</v>
      </c>
    </row>
    <row r="12547" spans="1:6" hidden="1" x14ac:dyDescent="0.25">
      <c r="A12547" t="s">
        <v>711</v>
      </c>
      <c r="B12547" t="s">
        <v>103</v>
      </c>
      <c r="E12547" s="3">
        <f>HYPERLINK("https://sao.dolgi.msk.ru/account/1404207459/", 1404207459)</f>
        <v>1404207459</v>
      </c>
      <c r="F12547">
        <v>-2186.39</v>
      </c>
    </row>
    <row r="12548" spans="1:6" hidden="1" x14ac:dyDescent="0.25">
      <c r="A12548" t="s">
        <v>711</v>
      </c>
      <c r="B12548" t="s">
        <v>104</v>
      </c>
      <c r="E12548" s="3">
        <f>HYPERLINK("https://sao.dolgi.msk.ru/account/1404207635/", 1404207635)</f>
        <v>1404207635</v>
      </c>
      <c r="F12548">
        <v>-3669.92</v>
      </c>
    </row>
    <row r="12549" spans="1:6" hidden="1" x14ac:dyDescent="0.25">
      <c r="A12549" t="s">
        <v>711</v>
      </c>
      <c r="B12549" t="s">
        <v>105</v>
      </c>
      <c r="E12549" s="3">
        <f>HYPERLINK("https://sao.dolgi.msk.ru/account/1404207133/", 1404207133)</f>
        <v>1404207133</v>
      </c>
      <c r="F12549">
        <v>-2348.0100000000002</v>
      </c>
    </row>
    <row r="12550" spans="1:6" hidden="1" x14ac:dyDescent="0.25">
      <c r="A12550" t="s">
        <v>711</v>
      </c>
      <c r="B12550" t="s">
        <v>106</v>
      </c>
      <c r="E12550" s="3">
        <f>HYPERLINK("https://sao.dolgi.msk.ru/account/1404209323/", 1404209323)</f>
        <v>1404209323</v>
      </c>
      <c r="F12550">
        <v>0</v>
      </c>
    </row>
    <row r="12551" spans="1:6" hidden="1" x14ac:dyDescent="0.25">
      <c r="A12551" t="s">
        <v>711</v>
      </c>
      <c r="B12551" t="s">
        <v>107</v>
      </c>
      <c r="E12551" s="3">
        <f>HYPERLINK("https://sao.dolgi.msk.ru/account/1404209753/", 1404209753)</f>
        <v>1404209753</v>
      </c>
      <c r="F12551">
        <v>-3595.97</v>
      </c>
    </row>
    <row r="12552" spans="1:6" hidden="1" x14ac:dyDescent="0.25">
      <c r="A12552" t="s">
        <v>711</v>
      </c>
      <c r="B12552" t="s">
        <v>108</v>
      </c>
      <c r="E12552" s="3">
        <f>HYPERLINK("https://sao.dolgi.msk.ru/account/1404208494/", 1404208494)</f>
        <v>1404208494</v>
      </c>
      <c r="F12552">
        <v>0</v>
      </c>
    </row>
    <row r="12553" spans="1:6" hidden="1" x14ac:dyDescent="0.25">
      <c r="A12553" t="s">
        <v>711</v>
      </c>
      <c r="B12553" t="s">
        <v>109</v>
      </c>
      <c r="E12553" s="3">
        <f>HYPERLINK("https://sao.dolgi.msk.ru/account/1404208507/", 1404208507)</f>
        <v>1404208507</v>
      </c>
      <c r="F12553">
        <v>-2100.4299999999998</v>
      </c>
    </row>
    <row r="12554" spans="1:6" hidden="1" x14ac:dyDescent="0.25">
      <c r="A12554" t="s">
        <v>711</v>
      </c>
      <c r="B12554" t="s">
        <v>110</v>
      </c>
      <c r="E12554" s="3">
        <f>HYPERLINK("https://sao.dolgi.msk.ru/account/1404208937/", 1404208937)</f>
        <v>1404208937</v>
      </c>
      <c r="F12554">
        <v>-2685.42</v>
      </c>
    </row>
    <row r="12555" spans="1:6" hidden="1" x14ac:dyDescent="0.25">
      <c r="A12555" t="s">
        <v>711</v>
      </c>
      <c r="B12555" t="s">
        <v>111</v>
      </c>
      <c r="E12555" s="3">
        <f>HYPERLINK("https://sao.dolgi.msk.ru/account/1404207643/", 1404207643)</f>
        <v>1404207643</v>
      </c>
      <c r="F12555">
        <v>-2681.76</v>
      </c>
    </row>
    <row r="12556" spans="1:6" hidden="1" x14ac:dyDescent="0.25">
      <c r="A12556" t="s">
        <v>711</v>
      </c>
      <c r="B12556" t="s">
        <v>112</v>
      </c>
      <c r="E12556" s="3">
        <f>HYPERLINK("https://sao.dolgi.msk.ru/account/1404209331/", 1404209331)</f>
        <v>1404209331</v>
      </c>
      <c r="F12556">
        <v>-3455.58</v>
      </c>
    </row>
    <row r="12557" spans="1:6" hidden="1" x14ac:dyDescent="0.25">
      <c r="A12557" t="s">
        <v>711</v>
      </c>
      <c r="B12557" t="s">
        <v>113</v>
      </c>
      <c r="E12557" s="3">
        <f>HYPERLINK("https://sao.dolgi.msk.ru/account/1404207184/", 1404207184)</f>
        <v>1404207184</v>
      </c>
      <c r="F12557">
        <v>-3512.78</v>
      </c>
    </row>
    <row r="12558" spans="1:6" x14ac:dyDescent="0.25">
      <c r="A12558" t="s">
        <v>711</v>
      </c>
      <c r="B12558" t="s">
        <v>114</v>
      </c>
      <c r="C12558" s="5" t="str">
        <f>" кв. "&amp;B12558</f>
        <v xml:space="preserve"> кв. 110</v>
      </c>
      <c r="D12558" s="5" t="str">
        <f>CONCATENATE(A12558,C12558)</f>
        <v>Фестивальная ул., дом 4 кв. 110</v>
      </c>
      <c r="E12558" s="3">
        <f>HYPERLINK("https://sao.dolgi.msk.ru/account/1404207416/", 1404207416)</f>
        <v>1404207416</v>
      </c>
      <c r="F12558">
        <v>1828.21</v>
      </c>
    </row>
    <row r="12559" spans="1:6" hidden="1" x14ac:dyDescent="0.25">
      <c r="A12559" t="s">
        <v>711</v>
      </c>
      <c r="B12559" t="s">
        <v>115</v>
      </c>
      <c r="E12559" s="3">
        <f>HYPERLINK("https://sao.dolgi.msk.ru/account/1404206907/", 1404206907)</f>
        <v>1404206907</v>
      </c>
      <c r="F12559">
        <v>-3355.23</v>
      </c>
    </row>
    <row r="12560" spans="1:6" hidden="1" x14ac:dyDescent="0.25">
      <c r="A12560" t="s">
        <v>711</v>
      </c>
      <c r="B12560" t="s">
        <v>116</v>
      </c>
      <c r="E12560" s="3">
        <f>HYPERLINK("https://sao.dolgi.msk.ru/account/1404206982/", 1404206982)</f>
        <v>1404206982</v>
      </c>
      <c r="F12560">
        <v>0</v>
      </c>
    </row>
    <row r="12561" spans="1:6" x14ac:dyDescent="0.25">
      <c r="A12561" t="s">
        <v>711</v>
      </c>
      <c r="B12561" t="s">
        <v>117</v>
      </c>
      <c r="C12561" s="5" t="str">
        <f t="shared" ref="C12561:C12562" si="512">" кв. "&amp;B12561</f>
        <v xml:space="preserve"> кв. 113</v>
      </c>
      <c r="D12561" s="5" t="str">
        <f>CONCATENATE(A12561,C12561)</f>
        <v>Фестивальная ул., дом 4 кв. 113</v>
      </c>
      <c r="E12561" s="3">
        <f>HYPERLINK("https://sao.dolgi.msk.ru/account/1404210025/", 1404210025)</f>
        <v>1404210025</v>
      </c>
      <c r="F12561">
        <v>2413.37</v>
      </c>
    </row>
    <row r="12562" spans="1:6" x14ac:dyDescent="0.25">
      <c r="A12562" t="s">
        <v>711</v>
      </c>
      <c r="B12562" t="s">
        <v>118</v>
      </c>
      <c r="C12562" s="5" t="str">
        <f t="shared" si="512"/>
        <v xml:space="preserve"> кв. 114</v>
      </c>
      <c r="D12562" s="5" t="str">
        <f>CONCATENATE(A12562,C12562)</f>
        <v>Фестивальная ул., дом 4 кв. 114</v>
      </c>
      <c r="E12562" s="3">
        <f>HYPERLINK("https://sao.dolgi.msk.ru/account/1404209163/", 1404209163)</f>
        <v>1404209163</v>
      </c>
      <c r="F12562">
        <v>1831.38</v>
      </c>
    </row>
    <row r="12563" spans="1:6" hidden="1" x14ac:dyDescent="0.25">
      <c r="A12563" t="s">
        <v>711</v>
      </c>
      <c r="B12563" t="s">
        <v>119</v>
      </c>
      <c r="E12563" s="3">
        <f>HYPERLINK("https://sao.dolgi.msk.ru/account/1404207002/", 1404207002)</f>
        <v>1404207002</v>
      </c>
      <c r="F12563">
        <v>-3651.43</v>
      </c>
    </row>
    <row r="12564" spans="1:6" hidden="1" x14ac:dyDescent="0.25">
      <c r="A12564" t="s">
        <v>711</v>
      </c>
      <c r="B12564" t="s">
        <v>120</v>
      </c>
      <c r="E12564" s="3">
        <f>HYPERLINK("https://sao.dolgi.msk.ru/account/1404207467/", 1404207467)</f>
        <v>1404207467</v>
      </c>
      <c r="F12564">
        <v>-3656.05</v>
      </c>
    </row>
    <row r="12565" spans="1:6" x14ac:dyDescent="0.25">
      <c r="A12565" t="s">
        <v>711</v>
      </c>
      <c r="B12565" t="s">
        <v>121</v>
      </c>
      <c r="C12565" s="5" t="str">
        <f>" кв. "&amp;B12565</f>
        <v xml:space="preserve"> кв. 117</v>
      </c>
      <c r="D12565" s="5" t="str">
        <f>CONCATENATE(A12565,C12565)</f>
        <v>Фестивальная ул., дом 4 кв. 117</v>
      </c>
      <c r="E12565" s="3">
        <f>HYPERLINK("https://sao.dolgi.msk.ru/account/1404207475/", 1404207475)</f>
        <v>1404207475</v>
      </c>
      <c r="F12565">
        <v>1875.65</v>
      </c>
    </row>
    <row r="12566" spans="1:6" hidden="1" x14ac:dyDescent="0.25">
      <c r="A12566" t="s">
        <v>711</v>
      </c>
      <c r="B12566" t="s">
        <v>122</v>
      </c>
      <c r="E12566" s="3">
        <f>HYPERLINK("https://sao.dolgi.msk.ru/account/1404207029/", 1404207029)</f>
        <v>1404207029</v>
      </c>
      <c r="F12566">
        <v>-2690.05</v>
      </c>
    </row>
    <row r="12567" spans="1:6" hidden="1" x14ac:dyDescent="0.25">
      <c r="A12567" t="s">
        <v>711</v>
      </c>
      <c r="B12567" t="s">
        <v>123</v>
      </c>
      <c r="E12567" s="3">
        <f>HYPERLINK("https://sao.dolgi.msk.ru/account/1404209171/", 1404209171)</f>
        <v>1404209171</v>
      </c>
      <c r="F12567">
        <v>-3005.04</v>
      </c>
    </row>
    <row r="12568" spans="1:6" hidden="1" x14ac:dyDescent="0.25">
      <c r="A12568" t="s">
        <v>711</v>
      </c>
      <c r="B12568" t="s">
        <v>124</v>
      </c>
      <c r="E12568" s="3">
        <f>HYPERLINK("https://sao.dolgi.msk.ru/account/1404208814/", 1404208814)</f>
        <v>1404208814</v>
      </c>
      <c r="F12568">
        <v>0</v>
      </c>
    </row>
    <row r="12569" spans="1:6" hidden="1" x14ac:dyDescent="0.25">
      <c r="A12569" t="s">
        <v>711</v>
      </c>
      <c r="B12569" t="s">
        <v>125</v>
      </c>
      <c r="E12569" s="3">
        <f>HYPERLINK("https://sao.dolgi.msk.ru/account/1404209657/", 1404209657)</f>
        <v>1404209657</v>
      </c>
      <c r="F12569">
        <v>-3517.4</v>
      </c>
    </row>
    <row r="12570" spans="1:6" x14ac:dyDescent="0.25">
      <c r="A12570" t="s">
        <v>711</v>
      </c>
      <c r="B12570" t="s">
        <v>126</v>
      </c>
      <c r="C12570" s="5" t="str">
        <f>" кв. "&amp;B12570</f>
        <v xml:space="preserve"> кв. 122</v>
      </c>
      <c r="D12570" s="5" t="str">
        <f>CONCATENATE(A12570,C12570)</f>
        <v>Фестивальная ул., дом 4 кв. 122</v>
      </c>
      <c r="E12570" s="3">
        <f>HYPERLINK("https://sao.dolgi.msk.ru/account/1404209665/", 1404209665)</f>
        <v>1404209665</v>
      </c>
      <c r="F12570">
        <v>1837.7</v>
      </c>
    </row>
    <row r="12571" spans="1:6" hidden="1" x14ac:dyDescent="0.25">
      <c r="A12571" t="s">
        <v>711</v>
      </c>
      <c r="B12571" t="s">
        <v>127</v>
      </c>
      <c r="E12571" s="3">
        <f>HYPERLINK("https://sao.dolgi.msk.ru/account/1404209198/", 1404209198)</f>
        <v>1404209198</v>
      </c>
      <c r="F12571">
        <v>0</v>
      </c>
    </row>
    <row r="12572" spans="1:6" x14ac:dyDescent="0.25">
      <c r="A12572" t="s">
        <v>711</v>
      </c>
      <c r="B12572" t="s">
        <v>128</v>
      </c>
      <c r="C12572" s="5" t="str">
        <f t="shared" ref="C12572:C12573" si="513">" кв. "&amp;B12572</f>
        <v xml:space="preserve"> кв. 124</v>
      </c>
      <c r="D12572" s="5" t="str">
        <f>CONCATENATE(A12572,C12572)</f>
        <v>Фестивальная ул., дом 4 кв. 124</v>
      </c>
      <c r="E12572" s="3">
        <f>HYPERLINK("https://sao.dolgi.msk.ru/account/1404208822/", 1404208822)</f>
        <v>1404208822</v>
      </c>
      <c r="F12572">
        <v>2517.75</v>
      </c>
    </row>
    <row r="12573" spans="1:6" x14ac:dyDescent="0.25">
      <c r="A12573" t="s">
        <v>711</v>
      </c>
      <c r="B12573" t="s">
        <v>129</v>
      </c>
      <c r="C12573" s="5" t="str">
        <f t="shared" si="513"/>
        <v xml:space="preserve"> кв. 125</v>
      </c>
      <c r="D12573" s="5" t="str">
        <f>CONCATENATE(A12573,C12573)</f>
        <v>Фестивальная ул., дом 4 кв. 125</v>
      </c>
      <c r="E12573" s="3">
        <f>HYPERLINK("https://sao.dolgi.msk.ru/account/1404209462/", 1404209462)</f>
        <v>1404209462</v>
      </c>
      <c r="F12573">
        <v>1739.65</v>
      </c>
    </row>
    <row r="12574" spans="1:6" hidden="1" x14ac:dyDescent="0.25">
      <c r="A12574" t="s">
        <v>711</v>
      </c>
      <c r="B12574" t="s">
        <v>130</v>
      </c>
      <c r="E12574" s="3">
        <f>HYPERLINK("https://sao.dolgi.msk.ru/account/1404210279/", 1404210279)</f>
        <v>1404210279</v>
      </c>
      <c r="F12574">
        <v>0</v>
      </c>
    </row>
    <row r="12575" spans="1:6" hidden="1" x14ac:dyDescent="0.25">
      <c r="A12575" t="s">
        <v>711</v>
      </c>
      <c r="B12575" t="s">
        <v>131</v>
      </c>
      <c r="E12575" s="3">
        <f>HYPERLINK("https://sao.dolgi.msk.ru/account/1404208662/", 1404208662)</f>
        <v>1404208662</v>
      </c>
      <c r="F12575">
        <v>-2814.84</v>
      </c>
    </row>
    <row r="12576" spans="1:6" hidden="1" x14ac:dyDescent="0.25">
      <c r="A12576" t="s">
        <v>711</v>
      </c>
      <c r="B12576" t="s">
        <v>132</v>
      </c>
      <c r="E12576" s="3">
        <f>HYPERLINK("https://sao.dolgi.msk.ru/account/1404208232/", 1404208232)</f>
        <v>1404208232</v>
      </c>
      <c r="F12576">
        <v>0</v>
      </c>
    </row>
    <row r="12577" spans="1:6" hidden="1" x14ac:dyDescent="0.25">
      <c r="A12577" t="s">
        <v>711</v>
      </c>
      <c r="B12577" t="s">
        <v>133</v>
      </c>
      <c r="E12577" s="3">
        <f>HYPERLINK("https://sao.dolgi.msk.ru/account/1404209489/", 1404209489)</f>
        <v>1404209489</v>
      </c>
      <c r="F12577">
        <v>-2128.7399999999998</v>
      </c>
    </row>
    <row r="12578" spans="1:6" x14ac:dyDescent="0.25">
      <c r="A12578" t="s">
        <v>711</v>
      </c>
      <c r="B12578" t="s">
        <v>134</v>
      </c>
      <c r="C12578" s="5" t="str">
        <f>" кв. "&amp;B12578</f>
        <v xml:space="preserve"> кв. 130</v>
      </c>
      <c r="D12578" s="5" t="str">
        <f>CONCATENATE(A12578,C12578)</f>
        <v>Фестивальная ул., дом 4 кв. 130</v>
      </c>
      <c r="E12578" s="3">
        <f>HYPERLINK("https://sao.dolgi.msk.ru/account/1404209075/", 1404209075)</f>
        <v>1404209075</v>
      </c>
      <c r="F12578">
        <v>1325.29</v>
      </c>
    </row>
    <row r="12579" spans="1:6" hidden="1" x14ac:dyDescent="0.25">
      <c r="A12579" t="s">
        <v>711</v>
      </c>
      <c r="B12579" t="s">
        <v>135</v>
      </c>
      <c r="E12579" s="3">
        <f>HYPERLINK("https://sao.dolgi.msk.ru/account/1404208689/", 1404208689)</f>
        <v>1404208689</v>
      </c>
      <c r="F12579">
        <v>0</v>
      </c>
    </row>
    <row r="12580" spans="1:6" hidden="1" x14ac:dyDescent="0.25">
      <c r="A12580" t="s">
        <v>711</v>
      </c>
      <c r="B12580" t="s">
        <v>136</v>
      </c>
      <c r="E12580" s="3">
        <f>HYPERLINK("https://sao.dolgi.msk.ru/account/1404210287/", 1404210287)</f>
        <v>1404210287</v>
      </c>
      <c r="F12580">
        <v>-3693.04</v>
      </c>
    </row>
    <row r="12581" spans="1:6" hidden="1" x14ac:dyDescent="0.25">
      <c r="A12581" t="s">
        <v>711</v>
      </c>
      <c r="B12581" t="s">
        <v>137</v>
      </c>
      <c r="E12581" s="3">
        <f>HYPERLINK("https://sao.dolgi.msk.ru/account/1404209868/", 1404209868)</f>
        <v>1404209868</v>
      </c>
      <c r="F12581">
        <v>-3512.78</v>
      </c>
    </row>
    <row r="12582" spans="1:6" x14ac:dyDescent="0.25">
      <c r="A12582" t="s">
        <v>711</v>
      </c>
      <c r="B12582" t="s">
        <v>138</v>
      </c>
      <c r="C12582" s="5" t="str">
        <f>" кв. "&amp;B12582</f>
        <v xml:space="preserve"> кв. 134</v>
      </c>
      <c r="D12582" s="5" t="str">
        <f>CONCATENATE(A12582,C12582)</f>
        <v>Фестивальная ул., дом 4 кв. 134</v>
      </c>
      <c r="E12582" s="3">
        <f>HYPERLINK("https://sao.dolgi.msk.ru/account/1404209497/", 1404209497)</f>
        <v>1404209497</v>
      </c>
      <c r="F12582">
        <v>1322.13</v>
      </c>
    </row>
    <row r="12583" spans="1:6" hidden="1" x14ac:dyDescent="0.25">
      <c r="A12583" t="s">
        <v>711</v>
      </c>
      <c r="B12583" t="s">
        <v>139</v>
      </c>
      <c r="E12583" s="3">
        <f>HYPERLINK("https://sao.dolgi.msk.ru/account/1404209876/", 1404209876)</f>
        <v>1404209876</v>
      </c>
      <c r="F12583">
        <v>-3623.69</v>
      </c>
    </row>
    <row r="12584" spans="1:6" hidden="1" x14ac:dyDescent="0.25">
      <c r="A12584" t="s">
        <v>711</v>
      </c>
      <c r="B12584" t="s">
        <v>140</v>
      </c>
      <c r="E12584" s="3">
        <f>HYPERLINK("https://sao.dolgi.msk.ru/account/1404209884/", 1404209884)</f>
        <v>1404209884</v>
      </c>
      <c r="F12584">
        <v>-3683.79</v>
      </c>
    </row>
    <row r="12585" spans="1:6" hidden="1" x14ac:dyDescent="0.25">
      <c r="A12585" t="s">
        <v>711</v>
      </c>
      <c r="B12585" t="s">
        <v>141</v>
      </c>
      <c r="E12585" s="3">
        <f>HYPERLINK("https://sao.dolgi.msk.ru/account/1404208697/", 1404208697)</f>
        <v>1404208697</v>
      </c>
      <c r="F12585">
        <v>-3512.78</v>
      </c>
    </row>
    <row r="12586" spans="1:6" x14ac:dyDescent="0.25">
      <c r="A12586" t="s">
        <v>711</v>
      </c>
      <c r="B12586" t="s">
        <v>142</v>
      </c>
      <c r="C12586" s="5" t="str">
        <f t="shared" ref="C12586:C12587" si="514">" кв. "&amp;B12586</f>
        <v xml:space="preserve"> кв. 138</v>
      </c>
      <c r="D12586" s="5" t="str">
        <f>CONCATENATE(A12586,C12586)</f>
        <v>Фестивальная ул., дом 4 кв. 138</v>
      </c>
      <c r="E12586" s="3">
        <f>HYPERLINK("https://sao.dolgi.msk.ru/account/1404207766/", 1404207766)</f>
        <v>1404207766</v>
      </c>
      <c r="F12586">
        <v>1844.03</v>
      </c>
    </row>
    <row r="12587" spans="1:6" x14ac:dyDescent="0.25">
      <c r="A12587" t="s">
        <v>711</v>
      </c>
      <c r="B12587" t="s">
        <v>143</v>
      </c>
      <c r="C12587" s="5" t="str">
        <f t="shared" si="514"/>
        <v xml:space="preserve"> кв. 139</v>
      </c>
      <c r="D12587" s="5" t="str">
        <f>CONCATENATE(A12587,C12587)</f>
        <v>Фестивальная ул., дом 4 кв. 139</v>
      </c>
      <c r="E12587" s="3">
        <f>HYPERLINK("https://sao.dolgi.msk.ru/account/1404209083/", 1404209083)</f>
        <v>1404209083</v>
      </c>
      <c r="F12587">
        <v>2457.65</v>
      </c>
    </row>
    <row r="12588" spans="1:6" hidden="1" x14ac:dyDescent="0.25">
      <c r="A12588" t="s">
        <v>711</v>
      </c>
      <c r="B12588" t="s">
        <v>144</v>
      </c>
      <c r="E12588" s="3">
        <f>HYPERLINK("https://sao.dolgi.msk.ru/account/1404208267/", 1404208267)</f>
        <v>1404208267</v>
      </c>
      <c r="F12588">
        <v>0</v>
      </c>
    </row>
    <row r="12589" spans="1:6" hidden="1" x14ac:dyDescent="0.25">
      <c r="A12589" t="s">
        <v>711</v>
      </c>
      <c r="B12589" t="s">
        <v>145</v>
      </c>
      <c r="E12589" s="3">
        <f>HYPERLINK("https://sao.dolgi.msk.ru/account/1404207301/", 1404207301)</f>
        <v>1404207301</v>
      </c>
      <c r="F12589">
        <v>-3512.78</v>
      </c>
    </row>
    <row r="12590" spans="1:6" hidden="1" x14ac:dyDescent="0.25">
      <c r="A12590" t="s">
        <v>711</v>
      </c>
      <c r="B12590" t="s">
        <v>146</v>
      </c>
      <c r="E12590" s="3">
        <f>HYPERLINK("https://sao.dolgi.msk.ru/account/1404209091/", 1404209091)</f>
        <v>1404209091</v>
      </c>
      <c r="F12590">
        <v>-901.31</v>
      </c>
    </row>
    <row r="12591" spans="1:6" hidden="1" x14ac:dyDescent="0.25">
      <c r="A12591" t="s">
        <v>711</v>
      </c>
      <c r="B12591" t="s">
        <v>146</v>
      </c>
      <c r="E12591" s="3">
        <f>HYPERLINK("https://sao.dolgi.msk.ru/account/1404210199/", 1404210199)</f>
        <v>1404210199</v>
      </c>
      <c r="F12591">
        <v>-3320.38</v>
      </c>
    </row>
    <row r="12592" spans="1:6" hidden="1" x14ac:dyDescent="0.25">
      <c r="A12592" t="s">
        <v>711</v>
      </c>
      <c r="B12592" t="s">
        <v>147</v>
      </c>
      <c r="E12592" s="3">
        <f>HYPERLINK("https://sao.dolgi.msk.ru/account/1404207774/", 1404207774)</f>
        <v>1404207774</v>
      </c>
      <c r="F12592">
        <v>0</v>
      </c>
    </row>
    <row r="12593" spans="1:6" hidden="1" x14ac:dyDescent="0.25">
      <c r="A12593" t="s">
        <v>711</v>
      </c>
      <c r="B12593" t="s">
        <v>148</v>
      </c>
      <c r="E12593" s="3">
        <f>HYPERLINK("https://sao.dolgi.msk.ru/account/1404209518/", 1404209518)</f>
        <v>1404209518</v>
      </c>
      <c r="F12593">
        <v>-1165.8</v>
      </c>
    </row>
    <row r="12594" spans="1:6" hidden="1" x14ac:dyDescent="0.25">
      <c r="A12594" t="s">
        <v>711</v>
      </c>
      <c r="B12594" t="s">
        <v>149</v>
      </c>
      <c r="E12594" s="3">
        <f>HYPERLINK("https://sao.dolgi.msk.ru/account/1404207782/", 1404207782)</f>
        <v>1404207782</v>
      </c>
      <c r="F12594">
        <v>-3522.01</v>
      </c>
    </row>
    <row r="12595" spans="1:6" x14ac:dyDescent="0.25">
      <c r="A12595" t="s">
        <v>711</v>
      </c>
      <c r="B12595" t="s">
        <v>150</v>
      </c>
      <c r="C12595" s="5" t="str">
        <f t="shared" ref="C12595:C12596" si="515">" кв. "&amp;B12595</f>
        <v xml:space="preserve"> кв. 146</v>
      </c>
      <c r="D12595" s="5" t="str">
        <f>CONCATENATE(A12595,C12595)</f>
        <v>Фестивальная ул., дом 4 кв. 146</v>
      </c>
      <c r="E12595" s="3">
        <f>HYPERLINK("https://sao.dolgi.msk.ru/account/1404209104/", 1404209104)</f>
        <v>1404209104</v>
      </c>
      <c r="F12595">
        <v>1850.36</v>
      </c>
    </row>
    <row r="12596" spans="1:6" x14ac:dyDescent="0.25">
      <c r="A12596" t="s">
        <v>711</v>
      </c>
      <c r="B12596" t="s">
        <v>151</v>
      </c>
      <c r="C12596" s="5" t="str">
        <f t="shared" si="515"/>
        <v xml:space="preserve"> кв. 147</v>
      </c>
      <c r="D12596" s="5" t="str">
        <f>CONCATENATE(A12596,C12596)</f>
        <v>Фестивальная ул., дом 4 кв. 147</v>
      </c>
      <c r="E12596" s="3">
        <f>HYPERLINK("https://sao.dolgi.msk.ru/account/1404207045/", 1404207045)</f>
        <v>1404207045</v>
      </c>
      <c r="F12596">
        <v>2445</v>
      </c>
    </row>
    <row r="12597" spans="1:6" hidden="1" x14ac:dyDescent="0.25">
      <c r="A12597" t="s">
        <v>711</v>
      </c>
      <c r="B12597" t="s">
        <v>152</v>
      </c>
      <c r="E12597" s="3">
        <f>HYPERLINK("https://sao.dolgi.msk.ru/account/1404209243/", 1404209243)</f>
        <v>1404209243</v>
      </c>
      <c r="F12597">
        <v>-3688.41</v>
      </c>
    </row>
    <row r="12598" spans="1:6" hidden="1" x14ac:dyDescent="0.25">
      <c r="A12598" t="s">
        <v>711</v>
      </c>
      <c r="B12598" t="s">
        <v>153</v>
      </c>
      <c r="E12598" s="3">
        <f>HYPERLINK("https://sao.dolgi.msk.ru/account/1404207053/", 1404207053)</f>
        <v>1404207053</v>
      </c>
      <c r="F12598">
        <v>0</v>
      </c>
    </row>
    <row r="12599" spans="1:6" hidden="1" x14ac:dyDescent="0.25">
      <c r="A12599" t="s">
        <v>711</v>
      </c>
      <c r="B12599" t="s">
        <v>154</v>
      </c>
      <c r="E12599" s="3">
        <f>HYPERLINK("https://sao.dolgi.msk.ru/account/1404208865/", 1404208865)</f>
        <v>1404208865</v>
      </c>
      <c r="F12599">
        <v>-2690.05</v>
      </c>
    </row>
    <row r="12600" spans="1:6" x14ac:dyDescent="0.25">
      <c r="A12600" t="s">
        <v>711</v>
      </c>
      <c r="B12600" t="s">
        <v>155</v>
      </c>
      <c r="C12600" s="5" t="str">
        <f>" кв. "&amp;B12600</f>
        <v xml:space="preserve"> кв. 151</v>
      </c>
      <c r="D12600" s="5" t="str">
        <f>CONCATENATE(A12600,C12600)</f>
        <v>Фестивальная ул., дом 4 кв. 151</v>
      </c>
      <c r="E12600" s="3">
        <f>HYPERLINK("https://sao.dolgi.msk.ru/account/1404210113/", 1404210113)</f>
        <v>1404210113</v>
      </c>
      <c r="F12600">
        <v>2445</v>
      </c>
    </row>
    <row r="12601" spans="1:6" hidden="1" x14ac:dyDescent="0.25">
      <c r="A12601" t="s">
        <v>711</v>
      </c>
      <c r="B12601" t="s">
        <v>156</v>
      </c>
      <c r="E12601" s="3">
        <f>HYPERLINK("https://sao.dolgi.msk.ru/account/1404210121/", 1404210121)</f>
        <v>1404210121</v>
      </c>
      <c r="F12601">
        <v>-3683.79</v>
      </c>
    </row>
    <row r="12602" spans="1:6" hidden="1" x14ac:dyDescent="0.25">
      <c r="A12602" t="s">
        <v>711</v>
      </c>
      <c r="B12602" t="s">
        <v>157</v>
      </c>
      <c r="E12602" s="3">
        <f>HYPERLINK("https://sao.dolgi.msk.ru/account/1404209702/", 1404209702)</f>
        <v>1404209702</v>
      </c>
      <c r="F12602">
        <v>-3517.4</v>
      </c>
    </row>
    <row r="12603" spans="1:6" hidden="1" x14ac:dyDescent="0.25">
      <c r="A12603" t="s">
        <v>711</v>
      </c>
      <c r="B12603" t="s">
        <v>158</v>
      </c>
      <c r="E12603" s="3">
        <f>HYPERLINK("https://sao.dolgi.msk.ru/account/1404207061/", 1404207061)</f>
        <v>1404207061</v>
      </c>
      <c r="F12603">
        <v>0</v>
      </c>
    </row>
    <row r="12604" spans="1:6" x14ac:dyDescent="0.25">
      <c r="A12604" t="s">
        <v>711</v>
      </c>
      <c r="B12604" t="s">
        <v>159</v>
      </c>
      <c r="C12604" s="5" t="str">
        <f>" кв. "&amp;B12604</f>
        <v xml:space="preserve"> кв. 155</v>
      </c>
      <c r="D12604" s="5" t="str">
        <f>CONCATENATE(A12604,C12604)</f>
        <v>Фестивальная ул., дом 4 кв. 155</v>
      </c>
      <c r="E12604" s="3">
        <f>HYPERLINK("https://sao.dolgi.msk.ru/account/1404209729/", 1404209729)</f>
        <v>1404209729</v>
      </c>
      <c r="F12604">
        <v>3099.74</v>
      </c>
    </row>
    <row r="12605" spans="1:6" hidden="1" x14ac:dyDescent="0.25">
      <c r="A12605" t="s">
        <v>711</v>
      </c>
      <c r="B12605" t="s">
        <v>160</v>
      </c>
      <c r="E12605" s="3">
        <f>HYPERLINK("https://sao.dolgi.msk.ru/account/1404208435/", 1404208435)</f>
        <v>1404208435</v>
      </c>
      <c r="F12605">
        <v>-2408.7800000000002</v>
      </c>
    </row>
    <row r="12606" spans="1:6" hidden="1" x14ac:dyDescent="0.25">
      <c r="A12606" t="s">
        <v>711</v>
      </c>
      <c r="B12606" t="s">
        <v>161</v>
      </c>
      <c r="E12606" s="3">
        <f>HYPERLINK("https://sao.dolgi.msk.ru/account/1404207539/", 1404207539)</f>
        <v>1404207539</v>
      </c>
      <c r="F12606">
        <v>-2416.9499999999998</v>
      </c>
    </row>
    <row r="12607" spans="1:6" hidden="1" x14ac:dyDescent="0.25">
      <c r="A12607" t="s">
        <v>711</v>
      </c>
      <c r="B12607" t="s">
        <v>162</v>
      </c>
      <c r="E12607" s="3">
        <f>HYPERLINK("https://sao.dolgi.msk.ru/account/1404209737/", 1404209737)</f>
        <v>1404209737</v>
      </c>
      <c r="F12607">
        <v>-4511.1499999999996</v>
      </c>
    </row>
    <row r="12608" spans="1:6" hidden="1" x14ac:dyDescent="0.25">
      <c r="A12608" t="s">
        <v>711</v>
      </c>
      <c r="B12608" t="s">
        <v>163</v>
      </c>
      <c r="E12608" s="3">
        <f>HYPERLINK("https://sao.dolgi.msk.ru/account/1404207088/", 1404207088)</f>
        <v>1404207088</v>
      </c>
      <c r="F12608">
        <v>-3494.29</v>
      </c>
    </row>
    <row r="12609" spans="1:6" x14ac:dyDescent="0.25">
      <c r="A12609" t="s">
        <v>711</v>
      </c>
      <c r="B12609" t="s">
        <v>164</v>
      </c>
      <c r="C12609" s="5" t="str">
        <f>" кв. "&amp;B12609</f>
        <v xml:space="preserve"> кв. 160</v>
      </c>
      <c r="D12609" s="5" t="str">
        <f>CONCATENATE(A12609,C12609)</f>
        <v>Фестивальная ул., дом 4 кв. 160</v>
      </c>
      <c r="E12609" s="3">
        <f>HYPERLINK("https://sao.dolgi.msk.ru/account/1404207096/", 1404207096)</f>
        <v>1404207096</v>
      </c>
      <c r="F12609">
        <v>1821.89</v>
      </c>
    </row>
    <row r="12610" spans="1:6" hidden="1" x14ac:dyDescent="0.25">
      <c r="A12610" t="s">
        <v>711</v>
      </c>
      <c r="B12610" t="s">
        <v>165</v>
      </c>
      <c r="E12610" s="3">
        <f>HYPERLINK("https://sao.dolgi.msk.ru/account/1404207803/", 1404207803)</f>
        <v>1404207803</v>
      </c>
      <c r="F12610">
        <v>0</v>
      </c>
    </row>
    <row r="12611" spans="1:6" hidden="1" x14ac:dyDescent="0.25">
      <c r="A12611" t="s">
        <v>711</v>
      </c>
      <c r="B12611" t="s">
        <v>166</v>
      </c>
      <c r="E12611" s="3">
        <f>HYPERLINK("https://sao.dolgi.msk.ru/account/1404208099/", 1404208099)</f>
        <v>1404208099</v>
      </c>
      <c r="F12611">
        <v>-2731.65</v>
      </c>
    </row>
    <row r="12612" spans="1:6" hidden="1" x14ac:dyDescent="0.25">
      <c r="A12612" t="s">
        <v>711</v>
      </c>
      <c r="B12612" t="s">
        <v>167</v>
      </c>
      <c r="E12612" s="3">
        <f>HYPERLINK("https://sao.dolgi.msk.ru/account/1404208873/", 1404208873)</f>
        <v>1404208873</v>
      </c>
      <c r="F12612">
        <v>-2648.44</v>
      </c>
    </row>
    <row r="12613" spans="1:6" hidden="1" x14ac:dyDescent="0.25">
      <c r="A12613" t="s">
        <v>711</v>
      </c>
      <c r="B12613" t="s">
        <v>168</v>
      </c>
      <c r="E12613" s="3">
        <f>HYPERLINK("https://sao.dolgi.msk.ru/account/1404208101/", 1404208101)</f>
        <v>1404208101</v>
      </c>
      <c r="F12613">
        <v>-993.74</v>
      </c>
    </row>
    <row r="12614" spans="1:6" hidden="1" x14ac:dyDescent="0.25">
      <c r="A12614" t="s">
        <v>711</v>
      </c>
      <c r="B12614" t="s">
        <v>169</v>
      </c>
      <c r="E12614" s="3">
        <f>HYPERLINK("https://sao.dolgi.msk.ru/account/1404207547/", 1404207547)</f>
        <v>1404207547</v>
      </c>
      <c r="F12614">
        <v>-1936.65</v>
      </c>
    </row>
    <row r="12615" spans="1:6" hidden="1" x14ac:dyDescent="0.25">
      <c r="A12615" t="s">
        <v>711</v>
      </c>
      <c r="B12615" t="s">
        <v>170</v>
      </c>
      <c r="E12615" s="3">
        <f>HYPERLINK("https://sao.dolgi.msk.ru/account/1404208443/", 1404208443)</f>
        <v>1404208443</v>
      </c>
      <c r="F12615">
        <v>0</v>
      </c>
    </row>
    <row r="12616" spans="1:6" hidden="1" x14ac:dyDescent="0.25">
      <c r="A12616" t="s">
        <v>711</v>
      </c>
      <c r="B12616" t="s">
        <v>171</v>
      </c>
      <c r="E12616" s="3">
        <f>HYPERLINK("https://sao.dolgi.msk.ru/account/1404207109/", 1404207109)</f>
        <v>1404207109</v>
      </c>
      <c r="F12616">
        <v>0</v>
      </c>
    </row>
    <row r="12617" spans="1:6" hidden="1" x14ac:dyDescent="0.25">
      <c r="A12617" t="s">
        <v>711</v>
      </c>
      <c r="B12617" t="s">
        <v>172</v>
      </c>
      <c r="E12617" s="3">
        <f>HYPERLINK("https://sao.dolgi.msk.ru/account/1404207555/", 1404207555)</f>
        <v>1404207555</v>
      </c>
      <c r="F12617">
        <v>-4548.1099999999997</v>
      </c>
    </row>
    <row r="12618" spans="1:6" hidden="1" x14ac:dyDescent="0.25">
      <c r="A12618" t="s">
        <v>711</v>
      </c>
      <c r="B12618" t="s">
        <v>173</v>
      </c>
      <c r="E12618" s="3">
        <f>HYPERLINK("https://sao.dolgi.msk.ru/account/1404207563/", 1404207563)</f>
        <v>1404207563</v>
      </c>
      <c r="F12618">
        <v>-1772.57</v>
      </c>
    </row>
    <row r="12619" spans="1:6" hidden="1" x14ac:dyDescent="0.25">
      <c r="A12619" t="s">
        <v>711</v>
      </c>
      <c r="B12619" t="s">
        <v>173</v>
      </c>
      <c r="E12619" s="3">
        <f>HYPERLINK("https://sao.dolgi.msk.ru/account/1404208451/", 1404208451)</f>
        <v>1404208451</v>
      </c>
      <c r="F12619">
        <v>-1772.57</v>
      </c>
    </row>
    <row r="12620" spans="1:6" hidden="1" x14ac:dyDescent="0.25">
      <c r="A12620" t="s">
        <v>711</v>
      </c>
      <c r="B12620" t="s">
        <v>174</v>
      </c>
      <c r="E12620" s="3">
        <f>HYPERLINK("https://sao.dolgi.msk.ru/account/1404207117/", 1404207117)</f>
        <v>1404207117</v>
      </c>
      <c r="F12620">
        <v>0</v>
      </c>
    </row>
    <row r="12621" spans="1:6" hidden="1" x14ac:dyDescent="0.25">
      <c r="A12621" t="s">
        <v>711</v>
      </c>
      <c r="B12621" t="s">
        <v>175</v>
      </c>
      <c r="E12621" s="3">
        <f>HYPERLINK("https://sao.dolgi.msk.ru/account/1404208881/", 1404208881)</f>
        <v>1404208881</v>
      </c>
      <c r="F12621">
        <v>-3776.23</v>
      </c>
    </row>
    <row r="12622" spans="1:6" hidden="1" x14ac:dyDescent="0.25">
      <c r="A12622" t="s">
        <v>711</v>
      </c>
      <c r="B12622" t="s">
        <v>176</v>
      </c>
      <c r="E12622" s="3">
        <f>HYPERLINK("https://sao.dolgi.msk.ru/account/1404207571/", 1404207571)</f>
        <v>1404207571</v>
      </c>
      <c r="F12622">
        <v>-3522.01</v>
      </c>
    </row>
    <row r="12623" spans="1:6" hidden="1" x14ac:dyDescent="0.25">
      <c r="A12623" t="s">
        <v>711</v>
      </c>
      <c r="B12623" t="s">
        <v>177</v>
      </c>
      <c r="E12623" s="3">
        <f>HYPERLINK("https://sao.dolgi.msk.ru/account/1404207942/", 1404207942)</f>
        <v>1404207942</v>
      </c>
      <c r="F12623">
        <v>-1913.54</v>
      </c>
    </row>
    <row r="12624" spans="1:6" hidden="1" x14ac:dyDescent="0.25">
      <c r="A12624" t="s">
        <v>711</v>
      </c>
      <c r="B12624" t="s">
        <v>178</v>
      </c>
      <c r="E12624" s="3">
        <f>HYPERLINK("https://sao.dolgi.msk.ru/account/1404206915/", 1404206915)</f>
        <v>1404206915</v>
      </c>
      <c r="F12624">
        <v>0</v>
      </c>
    </row>
    <row r="12625" spans="1:6" hidden="1" x14ac:dyDescent="0.25">
      <c r="A12625" t="s">
        <v>711</v>
      </c>
      <c r="B12625" t="s">
        <v>179</v>
      </c>
      <c r="E12625" s="3">
        <f>HYPERLINK("https://sao.dolgi.msk.ru/account/1404208769/", 1404208769)</f>
        <v>1404208769</v>
      </c>
      <c r="F12625">
        <v>-2119.88</v>
      </c>
    </row>
    <row r="12626" spans="1:6" hidden="1" x14ac:dyDescent="0.25">
      <c r="A12626" t="s">
        <v>711</v>
      </c>
      <c r="B12626" t="s">
        <v>180</v>
      </c>
      <c r="E12626" s="3">
        <f>HYPERLINK("https://sao.dolgi.msk.ru/account/1404209155/", 1404209155)</f>
        <v>1404209155</v>
      </c>
      <c r="F12626">
        <v>0</v>
      </c>
    </row>
    <row r="12627" spans="1:6" hidden="1" x14ac:dyDescent="0.25">
      <c r="A12627" t="s">
        <v>711</v>
      </c>
      <c r="B12627" t="s">
        <v>181</v>
      </c>
      <c r="E12627" s="3">
        <f>HYPERLINK("https://sao.dolgi.msk.ru/account/1404207969/", 1404207969)</f>
        <v>1404207969</v>
      </c>
      <c r="F12627">
        <v>-10975.16</v>
      </c>
    </row>
    <row r="12628" spans="1:6" hidden="1" x14ac:dyDescent="0.25">
      <c r="A12628" t="s">
        <v>711</v>
      </c>
      <c r="B12628" t="s">
        <v>182</v>
      </c>
      <c r="E12628" s="3">
        <f>HYPERLINK("https://sao.dolgi.msk.ru/account/1404207977/", 1404207977)</f>
        <v>1404207977</v>
      </c>
      <c r="F12628">
        <v>-3522.01</v>
      </c>
    </row>
    <row r="12629" spans="1:6" hidden="1" x14ac:dyDescent="0.25">
      <c r="A12629" t="s">
        <v>711</v>
      </c>
      <c r="B12629" t="s">
        <v>183</v>
      </c>
      <c r="E12629" s="3">
        <f>HYPERLINK("https://sao.dolgi.msk.ru/account/1404208291/", 1404208291)</f>
        <v>1404208291</v>
      </c>
      <c r="F12629">
        <v>-2676.18</v>
      </c>
    </row>
    <row r="12630" spans="1:6" hidden="1" x14ac:dyDescent="0.25">
      <c r="A12630" t="s">
        <v>711</v>
      </c>
      <c r="B12630" t="s">
        <v>184</v>
      </c>
      <c r="E12630" s="3">
        <f>HYPERLINK("https://sao.dolgi.msk.ru/account/1404208777/", 1404208777)</f>
        <v>1404208777</v>
      </c>
      <c r="F12630">
        <v>-2513.42</v>
      </c>
    </row>
    <row r="12631" spans="1:6" x14ac:dyDescent="0.25">
      <c r="A12631" t="s">
        <v>711</v>
      </c>
      <c r="B12631" t="s">
        <v>185</v>
      </c>
      <c r="C12631" s="5" t="str">
        <f>" кв. "&amp;B12631</f>
        <v xml:space="preserve"> кв. 181</v>
      </c>
      <c r="D12631" s="5" t="str">
        <f>CONCATENATE(A12631,C12631)</f>
        <v>Фестивальная ул., дом 4 кв. 181</v>
      </c>
      <c r="E12631" s="3">
        <f>HYPERLINK("https://sao.dolgi.msk.ru/account/1404209569/", 1404209569)</f>
        <v>1404209569</v>
      </c>
      <c r="F12631">
        <v>2413.37</v>
      </c>
    </row>
    <row r="12632" spans="1:6" hidden="1" x14ac:dyDescent="0.25">
      <c r="A12632" t="s">
        <v>711</v>
      </c>
      <c r="B12632" t="s">
        <v>186</v>
      </c>
      <c r="E12632" s="3">
        <f>HYPERLINK("https://sao.dolgi.msk.ru/account/1404209999/", 1404209999)</f>
        <v>1404209999</v>
      </c>
      <c r="F12632">
        <v>0</v>
      </c>
    </row>
    <row r="12633" spans="1:6" hidden="1" x14ac:dyDescent="0.25">
      <c r="A12633" t="s">
        <v>711</v>
      </c>
      <c r="B12633" t="s">
        <v>187</v>
      </c>
      <c r="E12633" s="3">
        <f>HYPERLINK("https://sao.dolgi.msk.ru/account/1404209577/", 1404209577)</f>
        <v>1404209577</v>
      </c>
      <c r="F12633">
        <v>-4525</v>
      </c>
    </row>
    <row r="12634" spans="1:6" hidden="1" x14ac:dyDescent="0.25">
      <c r="A12634" t="s">
        <v>711</v>
      </c>
      <c r="B12634" t="s">
        <v>188</v>
      </c>
      <c r="E12634" s="3">
        <f>HYPERLINK("https://sao.dolgi.msk.ru/account/1404209585/", 1404209585)</f>
        <v>1404209585</v>
      </c>
      <c r="F12634">
        <v>-3526.63</v>
      </c>
    </row>
    <row r="12635" spans="1:6" hidden="1" x14ac:dyDescent="0.25">
      <c r="A12635" t="s">
        <v>711</v>
      </c>
      <c r="B12635" t="s">
        <v>189</v>
      </c>
      <c r="E12635" s="3">
        <f>HYPERLINK("https://sao.dolgi.msk.ru/account/1404209593/", 1404209593)</f>
        <v>1404209593</v>
      </c>
      <c r="F12635">
        <v>-1735.78</v>
      </c>
    </row>
    <row r="12636" spans="1:6" x14ac:dyDescent="0.25">
      <c r="A12636" t="s">
        <v>711</v>
      </c>
      <c r="B12636" t="s">
        <v>190</v>
      </c>
      <c r="C12636" s="5" t="str">
        <f>" кв. "&amp;B12636</f>
        <v xml:space="preserve"> кв. 186</v>
      </c>
      <c r="D12636" s="5" t="str">
        <f>CONCATENATE(A12636,C12636)</f>
        <v>Фестивальная ул., дом 4 кв. 186</v>
      </c>
      <c r="E12636" s="3">
        <f>HYPERLINK("https://sao.dolgi.msk.ru/account/1404206923/", 1404206923)</f>
        <v>1404206923</v>
      </c>
      <c r="F12636">
        <v>3118.72</v>
      </c>
    </row>
    <row r="12637" spans="1:6" hidden="1" x14ac:dyDescent="0.25">
      <c r="A12637" t="s">
        <v>711</v>
      </c>
      <c r="B12637" t="s">
        <v>191</v>
      </c>
      <c r="E12637" s="3">
        <f>HYPERLINK("https://sao.dolgi.msk.ru/account/1404209606/", 1404209606)</f>
        <v>1404209606</v>
      </c>
      <c r="F12637">
        <v>-3512.78</v>
      </c>
    </row>
    <row r="12638" spans="1:6" hidden="1" x14ac:dyDescent="0.25">
      <c r="A12638" t="s">
        <v>711</v>
      </c>
      <c r="B12638" t="s">
        <v>192</v>
      </c>
      <c r="E12638" s="3">
        <f>HYPERLINK("https://sao.dolgi.msk.ru/account/1404207985/", 1404207985)</f>
        <v>1404207985</v>
      </c>
      <c r="F12638">
        <v>-2671.55</v>
      </c>
    </row>
    <row r="12639" spans="1:6" hidden="1" x14ac:dyDescent="0.25">
      <c r="A12639" t="s">
        <v>711</v>
      </c>
      <c r="B12639" t="s">
        <v>193</v>
      </c>
      <c r="E12639" s="3">
        <f>HYPERLINK("https://sao.dolgi.msk.ru/account/1404210009/", 1404210009)</f>
        <v>1404210009</v>
      </c>
      <c r="F12639">
        <v>-4538.87</v>
      </c>
    </row>
    <row r="12640" spans="1:6" x14ac:dyDescent="0.25">
      <c r="A12640" t="s">
        <v>711</v>
      </c>
      <c r="B12640" t="s">
        <v>194</v>
      </c>
      <c r="C12640" s="5" t="str">
        <f t="shared" ref="C12640:C12641" si="516">" кв. "&amp;B12640</f>
        <v xml:space="preserve"> кв. 190</v>
      </c>
      <c r="D12640" s="5" t="str">
        <f>CONCATENATE(A12640,C12640)</f>
        <v>Фестивальная ул., дом 4 кв. 190</v>
      </c>
      <c r="E12640" s="3">
        <f>HYPERLINK("https://sao.dolgi.msk.ru/account/1404208785/", 1404208785)</f>
        <v>1404208785</v>
      </c>
      <c r="F12640">
        <v>2413.37</v>
      </c>
    </row>
    <row r="12641" spans="1:6" x14ac:dyDescent="0.25">
      <c r="A12641" t="s">
        <v>711</v>
      </c>
      <c r="B12641" t="s">
        <v>195</v>
      </c>
      <c r="C12641" s="5" t="str">
        <f t="shared" si="516"/>
        <v xml:space="preserve"> кв. 191</v>
      </c>
      <c r="D12641" s="5" t="str">
        <f>CONCATENATE(A12641,C12641)</f>
        <v>Фестивальная ул., дом 4 кв. 191</v>
      </c>
      <c r="E12641" s="3">
        <f>HYPERLINK("https://sao.dolgi.msk.ru/account/1404207993/", 1404207993)</f>
        <v>1404207993</v>
      </c>
      <c r="F12641">
        <v>1312.64</v>
      </c>
    </row>
    <row r="12642" spans="1:6" hidden="1" x14ac:dyDescent="0.25">
      <c r="A12642" t="s">
        <v>711</v>
      </c>
      <c r="B12642" t="s">
        <v>196</v>
      </c>
      <c r="E12642" s="3">
        <f>HYPERLINK("https://sao.dolgi.msk.ru/account/1404208793/", 1404208793)</f>
        <v>1404208793</v>
      </c>
      <c r="F12642">
        <v>-4557.3599999999997</v>
      </c>
    </row>
    <row r="12643" spans="1:6" x14ac:dyDescent="0.25">
      <c r="A12643" t="s">
        <v>711</v>
      </c>
      <c r="B12643" t="s">
        <v>197</v>
      </c>
      <c r="C12643" s="5" t="str">
        <f>" кв. "&amp;B12643</f>
        <v xml:space="preserve"> кв. 193</v>
      </c>
      <c r="D12643" s="5" t="str">
        <f>CONCATENATE(A12643,C12643)</f>
        <v>Фестивальная ул., дом 4 кв. 193</v>
      </c>
      <c r="E12643" s="3">
        <f>HYPERLINK("https://sao.dolgi.msk.ru/account/1404206958/", 1404206958)</f>
        <v>1404206958</v>
      </c>
      <c r="F12643">
        <v>2410.21</v>
      </c>
    </row>
    <row r="12644" spans="1:6" hidden="1" x14ac:dyDescent="0.25">
      <c r="A12644" t="s">
        <v>711</v>
      </c>
      <c r="B12644" t="s">
        <v>198</v>
      </c>
      <c r="E12644" s="3">
        <f>HYPERLINK("https://sao.dolgi.msk.ru/account/1404207424/", 1404207424)</f>
        <v>1404207424</v>
      </c>
      <c r="F12644">
        <v>-2249.87</v>
      </c>
    </row>
    <row r="12645" spans="1:6" hidden="1" x14ac:dyDescent="0.25">
      <c r="A12645" t="s">
        <v>711</v>
      </c>
      <c r="B12645" t="s">
        <v>199</v>
      </c>
      <c r="E12645" s="3">
        <f>HYPERLINK("https://sao.dolgi.msk.ru/account/1404208005/", 1404208005)</f>
        <v>1404208005</v>
      </c>
      <c r="F12645">
        <v>-4543.49</v>
      </c>
    </row>
    <row r="12646" spans="1:6" hidden="1" x14ac:dyDescent="0.25">
      <c r="A12646" t="s">
        <v>711</v>
      </c>
      <c r="B12646" t="s">
        <v>200</v>
      </c>
      <c r="E12646" s="3">
        <f>HYPERLINK("https://sao.dolgi.msk.ru/account/1404207432/", 1404207432)</f>
        <v>1404207432</v>
      </c>
      <c r="F12646">
        <v>-3522.01</v>
      </c>
    </row>
    <row r="12647" spans="1:6" hidden="1" x14ac:dyDescent="0.25">
      <c r="A12647" t="s">
        <v>711</v>
      </c>
      <c r="B12647" t="s">
        <v>201</v>
      </c>
      <c r="E12647" s="3">
        <f>HYPERLINK("https://sao.dolgi.msk.ru/account/1404210017/", 1404210017)</f>
        <v>1404210017</v>
      </c>
      <c r="F12647">
        <v>-2360.9299999999998</v>
      </c>
    </row>
    <row r="12648" spans="1:6" x14ac:dyDescent="0.25">
      <c r="A12648" t="s">
        <v>711</v>
      </c>
      <c r="B12648" t="s">
        <v>202</v>
      </c>
      <c r="C12648" s="5" t="str">
        <f>" кв. "&amp;B12648</f>
        <v xml:space="preserve"> кв. 198</v>
      </c>
      <c r="D12648" s="5" t="str">
        <f>CONCATENATE(A12648,C12648)</f>
        <v>Фестивальная ул., дом 4 кв. 198</v>
      </c>
      <c r="E12648" s="3">
        <f>HYPERLINK("https://sao.dolgi.msk.ru/account/1404209614/", 1404209614)</f>
        <v>1404209614</v>
      </c>
      <c r="F12648">
        <v>3112.39</v>
      </c>
    </row>
    <row r="12649" spans="1:6" hidden="1" x14ac:dyDescent="0.25">
      <c r="A12649" t="s">
        <v>711</v>
      </c>
      <c r="B12649" t="s">
        <v>203</v>
      </c>
      <c r="E12649" s="3">
        <f>HYPERLINK("https://sao.dolgi.msk.ru/account/1404208013/", 1404208013)</f>
        <v>1404208013</v>
      </c>
      <c r="F12649">
        <v>-3517.4</v>
      </c>
    </row>
    <row r="12650" spans="1:6" hidden="1" x14ac:dyDescent="0.25">
      <c r="A12650" t="s">
        <v>711</v>
      </c>
      <c r="B12650" t="s">
        <v>204</v>
      </c>
      <c r="E12650" s="3">
        <f>HYPERLINK("https://sao.dolgi.msk.ru/account/1404208742/", 1404208742)</f>
        <v>1404208742</v>
      </c>
      <c r="F12650">
        <v>0</v>
      </c>
    </row>
    <row r="12651" spans="1:6" hidden="1" x14ac:dyDescent="0.25">
      <c r="A12651" t="s">
        <v>711</v>
      </c>
      <c r="B12651" t="s">
        <v>205</v>
      </c>
      <c r="E12651" s="3">
        <f>HYPERLINK("https://sao.dolgi.msk.ru/account/1404209139/", 1404209139)</f>
        <v>1404209139</v>
      </c>
      <c r="F12651">
        <v>-3803.96</v>
      </c>
    </row>
    <row r="12652" spans="1:6" hidden="1" x14ac:dyDescent="0.25">
      <c r="A12652" t="s">
        <v>711</v>
      </c>
      <c r="B12652" t="s">
        <v>206</v>
      </c>
      <c r="E12652" s="3">
        <f>HYPERLINK("https://sao.dolgi.msk.ru/account/1404209542/", 1404209542)</f>
        <v>1404209542</v>
      </c>
      <c r="F12652">
        <v>0</v>
      </c>
    </row>
    <row r="12653" spans="1:6" hidden="1" x14ac:dyDescent="0.25">
      <c r="A12653" t="s">
        <v>711</v>
      </c>
      <c r="B12653" t="s">
        <v>207</v>
      </c>
      <c r="E12653" s="3">
        <f>HYPERLINK("https://sao.dolgi.msk.ru/account/1404206894/", 1404206894)</f>
        <v>1404206894</v>
      </c>
      <c r="F12653">
        <v>-1780.45</v>
      </c>
    </row>
    <row r="12654" spans="1:6" x14ac:dyDescent="0.25">
      <c r="A12654" t="s">
        <v>711</v>
      </c>
      <c r="B12654" t="s">
        <v>208</v>
      </c>
      <c r="C12654" s="5" t="str">
        <f>" кв. "&amp;B12654</f>
        <v xml:space="preserve"> кв. 204</v>
      </c>
      <c r="D12654" s="5" t="str">
        <f>CONCATENATE(A12654,C12654)</f>
        <v>Фестивальная ул., дом 4 кв. 204</v>
      </c>
      <c r="E12654" s="3">
        <f>HYPERLINK("https://sao.dolgi.msk.ru/account/1404207379/", 1404207379)</f>
        <v>1404207379</v>
      </c>
      <c r="F12654">
        <v>3134.53</v>
      </c>
    </row>
    <row r="12655" spans="1:6" hidden="1" x14ac:dyDescent="0.25">
      <c r="A12655" t="s">
        <v>711</v>
      </c>
      <c r="B12655" t="s">
        <v>209</v>
      </c>
      <c r="E12655" s="3">
        <f>HYPERLINK("https://sao.dolgi.msk.ru/account/1404207854/", 1404207854)</f>
        <v>1404207854</v>
      </c>
      <c r="F12655">
        <v>-2444.21</v>
      </c>
    </row>
    <row r="12656" spans="1:6" hidden="1" x14ac:dyDescent="0.25">
      <c r="A12656" t="s">
        <v>711</v>
      </c>
      <c r="B12656" t="s">
        <v>210</v>
      </c>
      <c r="E12656" s="3">
        <f>HYPERLINK("https://sao.dolgi.msk.ru/account/1404208283/", 1404208283)</f>
        <v>1404208283</v>
      </c>
      <c r="F12656">
        <v>-1913.54</v>
      </c>
    </row>
    <row r="12657" spans="1:6" hidden="1" x14ac:dyDescent="0.25">
      <c r="A12657" t="s">
        <v>711</v>
      </c>
      <c r="B12657" t="s">
        <v>211</v>
      </c>
      <c r="E12657" s="3">
        <f>HYPERLINK("https://sao.dolgi.msk.ru/account/1404207387/", 1404207387)</f>
        <v>1404207387</v>
      </c>
      <c r="F12657">
        <v>-2644.12</v>
      </c>
    </row>
    <row r="12658" spans="1:6" x14ac:dyDescent="0.25">
      <c r="A12658" t="s">
        <v>711</v>
      </c>
      <c r="B12658" t="s">
        <v>212</v>
      </c>
      <c r="C12658" s="5" t="str">
        <f t="shared" ref="C12658:C12659" si="517">" кв. "&amp;B12658</f>
        <v xml:space="preserve"> кв. 208</v>
      </c>
      <c r="D12658" s="5" t="str">
        <f>CONCATENATE(A12658,C12658)</f>
        <v>Фестивальная ул., дом 4 кв. 208</v>
      </c>
      <c r="E12658" s="3">
        <f>HYPERLINK("https://sao.dolgi.msk.ru/account/1404207862/", 1404207862)</f>
        <v>1404207862</v>
      </c>
      <c r="F12658">
        <v>601.76</v>
      </c>
    </row>
    <row r="12659" spans="1:6" x14ac:dyDescent="0.25">
      <c r="A12659" t="s">
        <v>711</v>
      </c>
      <c r="B12659" t="s">
        <v>212</v>
      </c>
      <c r="C12659" s="5" t="str">
        <f t="shared" si="517"/>
        <v xml:space="preserve"> кв. 208</v>
      </c>
      <c r="D12659" s="5" t="str">
        <f>CONCATENATE(A12659,C12659)</f>
        <v>Фестивальная ул., дом 4 кв. 208</v>
      </c>
      <c r="E12659" s="3">
        <f>HYPERLINK("https://sao.dolgi.msk.ru/account/1404209948/", 1404209948)</f>
        <v>1404209948</v>
      </c>
      <c r="F12659">
        <v>1283.3800000000001</v>
      </c>
    </row>
    <row r="12660" spans="1:6" hidden="1" x14ac:dyDescent="0.25">
      <c r="A12660" t="s">
        <v>711</v>
      </c>
      <c r="B12660" t="s">
        <v>213</v>
      </c>
      <c r="E12660" s="3">
        <f>HYPERLINK("https://sao.dolgi.msk.ru/account/1404209956/", 1404209956)</f>
        <v>1404209956</v>
      </c>
      <c r="F12660">
        <v>-2680.8</v>
      </c>
    </row>
    <row r="12661" spans="1:6" hidden="1" x14ac:dyDescent="0.25">
      <c r="A12661" t="s">
        <v>711</v>
      </c>
      <c r="B12661" t="s">
        <v>214</v>
      </c>
      <c r="E12661" s="3">
        <f>HYPERLINK("https://sao.dolgi.msk.ru/account/1404207395/", 1404207395)</f>
        <v>1404207395</v>
      </c>
      <c r="F12661">
        <v>0</v>
      </c>
    </row>
    <row r="12662" spans="1:6" hidden="1" x14ac:dyDescent="0.25">
      <c r="A12662" t="s">
        <v>711</v>
      </c>
      <c r="B12662" t="s">
        <v>215</v>
      </c>
      <c r="E12662" s="3">
        <f>HYPERLINK("https://sao.dolgi.msk.ru/account/1404207889/", 1404207889)</f>
        <v>1404207889</v>
      </c>
      <c r="F12662">
        <v>-3526.82</v>
      </c>
    </row>
    <row r="12663" spans="1:6" x14ac:dyDescent="0.25">
      <c r="A12663" t="s">
        <v>711</v>
      </c>
      <c r="B12663" t="s">
        <v>216</v>
      </c>
      <c r="C12663" s="5" t="str">
        <f t="shared" ref="C12663:C12665" si="518">" кв. "&amp;B12663</f>
        <v xml:space="preserve"> кв. 212</v>
      </c>
      <c r="D12663" s="5" t="str">
        <f>CONCATENATE(A12663,C12663)</f>
        <v>Фестивальная ул., дом 4 кв. 212</v>
      </c>
      <c r="E12663" s="3">
        <f>HYPERLINK("https://sao.dolgi.msk.ru/account/1404207897/", 1404207897)</f>
        <v>1404207897</v>
      </c>
      <c r="F12663">
        <v>1840.87</v>
      </c>
    </row>
    <row r="12664" spans="1:6" x14ac:dyDescent="0.25">
      <c r="A12664" t="s">
        <v>711</v>
      </c>
      <c r="B12664" t="s">
        <v>217</v>
      </c>
      <c r="C12664" s="5" t="str">
        <f t="shared" si="518"/>
        <v xml:space="preserve"> кв. 213</v>
      </c>
      <c r="D12664" s="5" t="str">
        <f>CONCATENATE(A12664,C12664)</f>
        <v>Фестивальная ул., дом 4 кв. 213</v>
      </c>
      <c r="E12664" s="3">
        <f>HYPERLINK("https://sao.dolgi.msk.ru/account/1404207918/", 1404207918)</f>
        <v>1404207918</v>
      </c>
      <c r="F12664">
        <v>3125.04</v>
      </c>
    </row>
    <row r="12665" spans="1:6" x14ac:dyDescent="0.25">
      <c r="A12665" t="s">
        <v>711</v>
      </c>
      <c r="B12665" t="s">
        <v>218</v>
      </c>
      <c r="C12665" s="5" t="str">
        <f t="shared" si="518"/>
        <v xml:space="preserve"> кв. 214</v>
      </c>
      <c r="D12665" s="5" t="str">
        <f>CONCATENATE(A12665,C12665)</f>
        <v>Фестивальная ул., дом 4 кв. 214</v>
      </c>
      <c r="E12665" s="3">
        <f>HYPERLINK("https://sao.dolgi.msk.ru/account/1404207408/", 1404207408)</f>
        <v>1404207408</v>
      </c>
      <c r="F12665">
        <v>829.5</v>
      </c>
    </row>
    <row r="12666" spans="1:6" hidden="1" x14ac:dyDescent="0.25">
      <c r="A12666" t="s">
        <v>711</v>
      </c>
      <c r="B12666" t="s">
        <v>219</v>
      </c>
      <c r="E12666" s="3">
        <f>HYPERLINK("https://sao.dolgi.msk.ru/account/1404207926/", 1404207926)</f>
        <v>1404207926</v>
      </c>
      <c r="F12666">
        <v>-2690.05</v>
      </c>
    </row>
    <row r="12667" spans="1:6" hidden="1" x14ac:dyDescent="0.25">
      <c r="A12667" t="s">
        <v>711</v>
      </c>
      <c r="B12667" t="s">
        <v>220</v>
      </c>
      <c r="E12667" s="3">
        <f>HYPERLINK("https://sao.dolgi.msk.ru/account/1404207934/", 1404207934)</f>
        <v>1404207934</v>
      </c>
      <c r="F12667">
        <v>-4548.1099999999997</v>
      </c>
    </row>
    <row r="12668" spans="1:6" hidden="1" x14ac:dyDescent="0.25">
      <c r="A12668" t="s">
        <v>711</v>
      </c>
      <c r="B12668" t="s">
        <v>221</v>
      </c>
      <c r="E12668" s="3">
        <f>HYPERLINK("https://sao.dolgi.msk.ru/account/1404209964/", 1404209964)</f>
        <v>1404209964</v>
      </c>
      <c r="F12668">
        <v>0</v>
      </c>
    </row>
    <row r="12669" spans="1:6" hidden="1" x14ac:dyDescent="0.25">
      <c r="A12669" t="s">
        <v>711</v>
      </c>
      <c r="B12669" t="s">
        <v>222</v>
      </c>
      <c r="E12669" s="3">
        <f>HYPERLINK("https://sao.dolgi.msk.ru/account/1404208806/", 1404208806)</f>
        <v>1404208806</v>
      </c>
      <c r="F12669">
        <v>-2249.88</v>
      </c>
    </row>
    <row r="12670" spans="1:6" hidden="1" x14ac:dyDescent="0.25">
      <c r="A12670" t="s">
        <v>711</v>
      </c>
      <c r="B12670" t="s">
        <v>223</v>
      </c>
      <c r="E12670" s="3">
        <f>HYPERLINK("https://sao.dolgi.msk.ru/account/1404209622/", 1404209622)</f>
        <v>1404209622</v>
      </c>
      <c r="F12670">
        <v>-4483.41</v>
      </c>
    </row>
    <row r="12671" spans="1:6" hidden="1" x14ac:dyDescent="0.25">
      <c r="A12671" t="s">
        <v>711</v>
      </c>
      <c r="B12671" t="s">
        <v>224</v>
      </c>
      <c r="E12671" s="3">
        <f>HYPERLINK("https://sao.dolgi.msk.ru/account/1404207037/", 1404207037)</f>
        <v>1404207037</v>
      </c>
      <c r="F12671">
        <v>0</v>
      </c>
    </row>
    <row r="12672" spans="1:6" hidden="1" x14ac:dyDescent="0.25">
      <c r="A12672" t="s">
        <v>711</v>
      </c>
      <c r="B12672" t="s">
        <v>225</v>
      </c>
      <c r="E12672" s="3">
        <f>HYPERLINK("https://sao.dolgi.msk.ru/account/1404208021/", 1404208021)</f>
        <v>1404208021</v>
      </c>
      <c r="F12672">
        <v>-1609.17</v>
      </c>
    </row>
    <row r="12673" spans="1:6" x14ac:dyDescent="0.25">
      <c r="A12673" t="s">
        <v>711</v>
      </c>
      <c r="B12673" t="s">
        <v>226</v>
      </c>
      <c r="C12673" s="5" t="str">
        <f>" кв. "&amp;B12673</f>
        <v xml:space="preserve"> кв. 222</v>
      </c>
      <c r="D12673" s="5" t="str">
        <f>CONCATENATE(A12673,C12673)</f>
        <v>Фестивальная ул., дом 4 кв. 222</v>
      </c>
      <c r="E12673" s="3">
        <f>HYPERLINK("https://sao.dolgi.msk.ru/account/1404208849/", 1404208849)</f>
        <v>1404208849</v>
      </c>
      <c r="F12673">
        <v>3099.74</v>
      </c>
    </row>
    <row r="12674" spans="1:6" hidden="1" x14ac:dyDescent="0.25">
      <c r="A12674" t="s">
        <v>711</v>
      </c>
      <c r="B12674" t="s">
        <v>227</v>
      </c>
      <c r="E12674" s="3">
        <f>HYPERLINK("https://sao.dolgi.msk.ru/account/1404209219/", 1404209219)</f>
        <v>1404209219</v>
      </c>
      <c r="F12674">
        <v>-3406.47</v>
      </c>
    </row>
    <row r="12675" spans="1:6" x14ac:dyDescent="0.25">
      <c r="A12675" t="s">
        <v>711</v>
      </c>
      <c r="B12675" t="s">
        <v>228</v>
      </c>
      <c r="C12675" s="5" t="str">
        <f>" кв. "&amp;B12675</f>
        <v xml:space="preserve"> кв. 224</v>
      </c>
      <c r="D12675" s="5" t="str">
        <f>CONCATENATE(A12675,C12675)</f>
        <v>Фестивальная ул., дом 4 кв. 224</v>
      </c>
      <c r="E12675" s="3">
        <f>HYPERLINK("https://sao.dolgi.msk.ru/account/1404210033/", 1404210033)</f>
        <v>1404210033</v>
      </c>
      <c r="F12675">
        <v>977.37</v>
      </c>
    </row>
    <row r="12676" spans="1:6" hidden="1" x14ac:dyDescent="0.25">
      <c r="A12676" t="s">
        <v>711</v>
      </c>
      <c r="B12676" t="s">
        <v>229</v>
      </c>
      <c r="E12676" s="3">
        <f>HYPERLINK("https://sao.dolgi.msk.ru/account/1404210041/", 1404210041)</f>
        <v>1404210041</v>
      </c>
      <c r="F12676">
        <v>-3766.98</v>
      </c>
    </row>
    <row r="12677" spans="1:6" x14ac:dyDescent="0.25">
      <c r="A12677" t="s">
        <v>711</v>
      </c>
      <c r="B12677" t="s">
        <v>230</v>
      </c>
      <c r="C12677" s="5" t="str">
        <f>" кв. "&amp;B12677</f>
        <v xml:space="preserve"> кв. 226</v>
      </c>
      <c r="D12677" s="5" t="str">
        <f>CONCATENATE(A12677,C12677)</f>
        <v>Фестивальная ул., дом 4 кв. 226</v>
      </c>
      <c r="E12677" s="3">
        <f>HYPERLINK("https://sao.dolgi.msk.ru/account/1404209673/", 1404209673)</f>
        <v>1404209673</v>
      </c>
      <c r="F12677">
        <v>2179.1799999999998</v>
      </c>
    </row>
    <row r="12678" spans="1:6" hidden="1" x14ac:dyDescent="0.25">
      <c r="A12678" t="s">
        <v>711</v>
      </c>
      <c r="B12678" t="s">
        <v>231</v>
      </c>
      <c r="E12678" s="3">
        <f>HYPERLINK("https://sao.dolgi.msk.ru/account/1404210068/", 1404210068)</f>
        <v>1404210068</v>
      </c>
      <c r="F12678">
        <v>-1577.86</v>
      </c>
    </row>
    <row r="12679" spans="1:6" x14ac:dyDescent="0.25">
      <c r="A12679" t="s">
        <v>711</v>
      </c>
      <c r="B12679" t="s">
        <v>232</v>
      </c>
      <c r="C12679" s="5" t="str">
        <f>" кв. "&amp;B12679</f>
        <v xml:space="preserve"> кв. 228</v>
      </c>
      <c r="D12679" s="5" t="str">
        <f>CONCATENATE(A12679,C12679)</f>
        <v>Фестивальная ул., дом 4 кв. 228</v>
      </c>
      <c r="E12679" s="3">
        <f>HYPERLINK("https://sao.dolgi.msk.ru/account/1404208048/", 1404208048)</f>
        <v>1404208048</v>
      </c>
      <c r="F12679">
        <v>3093.41</v>
      </c>
    </row>
    <row r="12680" spans="1:6" hidden="1" x14ac:dyDescent="0.25">
      <c r="A12680" t="s">
        <v>711</v>
      </c>
      <c r="B12680" t="s">
        <v>233</v>
      </c>
      <c r="E12680" s="3">
        <f>HYPERLINK("https://sao.dolgi.msk.ru/account/1404209227/", 1404209227)</f>
        <v>1404209227</v>
      </c>
      <c r="F12680">
        <v>-3443.44</v>
      </c>
    </row>
    <row r="12681" spans="1:6" hidden="1" x14ac:dyDescent="0.25">
      <c r="A12681" t="s">
        <v>711</v>
      </c>
      <c r="B12681" t="s">
        <v>234</v>
      </c>
      <c r="E12681" s="3">
        <f>HYPERLINK("https://sao.dolgi.msk.ru/account/1404208857/", 1404208857)</f>
        <v>1404208857</v>
      </c>
      <c r="F12681">
        <v>-2703.92</v>
      </c>
    </row>
    <row r="12682" spans="1:6" hidden="1" x14ac:dyDescent="0.25">
      <c r="A12682" t="s">
        <v>711</v>
      </c>
      <c r="B12682" t="s">
        <v>235</v>
      </c>
      <c r="E12682" s="3">
        <f>HYPERLINK("https://sao.dolgi.msk.ru/account/1404208056/", 1404208056)</f>
        <v>1404208056</v>
      </c>
      <c r="F12682">
        <v>-4557.3599999999997</v>
      </c>
    </row>
    <row r="12683" spans="1:6" hidden="1" x14ac:dyDescent="0.25">
      <c r="A12683" t="s">
        <v>711</v>
      </c>
      <c r="B12683" t="s">
        <v>239</v>
      </c>
      <c r="E12683" s="3">
        <f>HYPERLINK("https://sao.dolgi.msk.ru/account/1404210076/", 1404210076)</f>
        <v>1404210076</v>
      </c>
      <c r="F12683">
        <v>-1085.54</v>
      </c>
    </row>
    <row r="12684" spans="1:6" hidden="1" x14ac:dyDescent="0.25">
      <c r="A12684" t="s">
        <v>711</v>
      </c>
      <c r="B12684" t="s">
        <v>240</v>
      </c>
      <c r="E12684" s="3">
        <f>HYPERLINK("https://sao.dolgi.msk.ru/account/1404208371/", 1404208371)</f>
        <v>1404208371</v>
      </c>
      <c r="F12684">
        <v>0</v>
      </c>
    </row>
    <row r="12685" spans="1:6" hidden="1" x14ac:dyDescent="0.25">
      <c r="A12685" t="s">
        <v>711</v>
      </c>
      <c r="B12685" t="s">
        <v>241</v>
      </c>
      <c r="E12685" s="3">
        <f>HYPERLINK("https://sao.dolgi.msk.ru/account/1404210084/", 1404210084)</f>
        <v>1404210084</v>
      </c>
      <c r="F12685">
        <v>-4571.2299999999996</v>
      </c>
    </row>
    <row r="12686" spans="1:6" hidden="1" x14ac:dyDescent="0.25">
      <c r="A12686" t="s">
        <v>711</v>
      </c>
      <c r="B12686" t="s">
        <v>242</v>
      </c>
      <c r="E12686" s="3">
        <f>HYPERLINK("https://sao.dolgi.msk.ru/account/1404209681/", 1404209681)</f>
        <v>1404209681</v>
      </c>
      <c r="F12686">
        <v>-3452.68</v>
      </c>
    </row>
    <row r="12687" spans="1:6" hidden="1" x14ac:dyDescent="0.25">
      <c r="A12687" t="s">
        <v>711</v>
      </c>
      <c r="B12687" t="s">
        <v>243</v>
      </c>
      <c r="E12687" s="3">
        <f>HYPERLINK("https://sao.dolgi.msk.ru/account/1404210092/", 1404210092)</f>
        <v>1404210092</v>
      </c>
      <c r="F12687">
        <v>-2699.29</v>
      </c>
    </row>
    <row r="12688" spans="1:6" x14ac:dyDescent="0.25">
      <c r="A12688" t="s">
        <v>711</v>
      </c>
      <c r="B12688" t="s">
        <v>244</v>
      </c>
      <c r="C12688" s="5" t="str">
        <f>" кв. "&amp;B12688</f>
        <v xml:space="preserve"> кв. 237</v>
      </c>
      <c r="D12688" s="5" t="str">
        <f>CONCATENATE(A12688,C12688)</f>
        <v>Фестивальная ул., дом 4 кв. 237</v>
      </c>
      <c r="E12688" s="3">
        <f>HYPERLINK("https://sao.dolgi.msk.ru/account/1404208398/", 1404208398)</f>
        <v>1404208398</v>
      </c>
      <c r="F12688">
        <v>3121.88</v>
      </c>
    </row>
    <row r="12689" spans="1:6" hidden="1" x14ac:dyDescent="0.25">
      <c r="A12689" t="s">
        <v>711</v>
      </c>
      <c r="B12689" t="s">
        <v>245</v>
      </c>
      <c r="E12689" s="3">
        <f>HYPERLINK("https://sao.dolgi.msk.ru/account/1404207483/", 1404207483)</f>
        <v>1404207483</v>
      </c>
      <c r="F12689">
        <v>-3434.19</v>
      </c>
    </row>
    <row r="12690" spans="1:6" hidden="1" x14ac:dyDescent="0.25">
      <c r="A12690" t="s">
        <v>711</v>
      </c>
      <c r="B12690" t="s">
        <v>246</v>
      </c>
      <c r="E12690" s="3">
        <f>HYPERLINK("https://sao.dolgi.msk.ru/account/1404209235/", 1404209235)</f>
        <v>1404209235</v>
      </c>
      <c r="F12690">
        <v>0</v>
      </c>
    </row>
    <row r="12691" spans="1:6" x14ac:dyDescent="0.25">
      <c r="A12691" t="s">
        <v>711</v>
      </c>
      <c r="B12691" t="s">
        <v>247</v>
      </c>
      <c r="C12691" s="5" t="str">
        <f>" кв. "&amp;B12691</f>
        <v xml:space="preserve"> кв. 240</v>
      </c>
      <c r="D12691" s="5" t="str">
        <f>CONCATENATE(A12691,C12691)</f>
        <v>Фестивальная ул., дом 4 кв. 240</v>
      </c>
      <c r="E12691" s="3">
        <f>HYPERLINK("https://sao.dolgi.msk.ru/account/1404208064/", 1404208064)</f>
        <v>1404208064</v>
      </c>
      <c r="F12691">
        <v>3131.37</v>
      </c>
    </row>
    <row r="12692" spans="1:6" hidden="1" x14ac:dyDescent="0.25">
      <c r="A12692" t="s">
        <v>711</v>
      </c>
      <c r="B12692" t="s">
        <v>248</v>
      </c>
      <c r="E12692" s="3">
        <f>HYPERLINK("https://sao.dolgi.msk.ru/account/1404210105/", 1404210105)</f>
        <v>1404210105</v>
      </c>
      <c r="F12692">
        <v>0</v>
      </c>
    </row>
    <row r="12693" spans="1:6" x14ac:dyDescent="0.25">
      <c r="A12693" t="s">
        <v>711</v>
      </c>
      <c r="B12693" t="s">
        <v>249</v>
      </c>
      <c r="C12693" s="5" t="str">
        <f>" кв. "&amp;B12693</f>
        <v xml:space="preserve"> кв. 242</v>
      </c>
      <c r="D12693" s="5" t="str">
        <f>CONCATENATE(A12693,C12693)</f>
        <v>Фестивальная ул., дом 4 кв. 242</v>
      </c>
      <c r="E12693" s="3">
        <f>HYPERLINK("https://sao.dolgi.msk.ru/account/1404207491/", 1404207491)</f>
        <v>1404207491</v>
      </c>
      <c r="F12693">
        <v>1318.97</v>
      </c>
    </row>
    <row r="12694" spans="1:6" hidden="1" x14ac:dyDescent="0.25">
      <c r="A12694" t="s">
        <v>711</v>
      </c>
      <c r="B12694" t="s">
        <v>250</v>
      </c>
      <c r="E12694" s="3">
        <f>HYPERLINK("https://sao.dolgi.msk.ru/account/1404208427/", 1404208427)</f>
        <v>1404208427</v>
      </c>
      <c r="F12694">
        <v>-3643.14</v>
      </c>
    </row>
    <row r="12695" spans="1:6" x14ac:dyDescent="0.25">
      <c r="A12695" t="s">
        <v>711</v>
      </c>
      <c r="B12695" t="s">
        <v>251</v>
      </c>
      <c r="C12695" s="5" t="str">
        <f>" кв. "&amp;B12695</f>
        <v xml:space="preserve"> кв. 244</v>
      </c>
      <c r="D12695" s="5" t="str">
        <f>CONCATENATE(A12695,C12695)</f>
        <v>Фестивальная ул., дом 4 кв. 244</v>
      </c>
      <c r="E12695" s="3">
        <f>HYPERLINK("https://sao.dolgi.msk.ru/account/1404207504/", 1404207504)</f>
        <v>1404207504</v>
      </c>
      <c r="F12695">
        <v>2343.7800000000002</v>
      </c>
    </row>
    <row r="12696" spans="1:6" hidden="1" x14ac:dyDescent="0.25">
      <c r="A12696" t="s">
        <v>711</v>
      </c>
      <c r="B12696" t="s">
        <v>252</v>
      </c>
      <c r="E12696" s="3">
        <f>HYPERLINK("https://sao.dolgi.msk.ru/account/1404207512/", 1404207512)</f>
        <v>1404207512</v>
      </c>
      <c r="F12696">
        <v>-1340.41</v>
      </c>
    </row>
    <row r="12697" spans="1:6" x14ac:dyDescent="0.25">
      <c r="A12697" t="s">
        <v>711</v>
      </c>
      <c r="B12697" t="s">
        <v>253</v>
      </c>
      <c r="C12697" s="5" t="str">
        <f>" кв. "&amp;B12697</f>
        <v xml:space="preserve"> кв. 246</v>
      </c>
      <c r="D12697" s="5" t="str">
        <f>CONCATENATE(A12697,C12697)</f>
        <v>Фестивальная ул., дом 4 кв. 246</v>
      </c>
      <c r="E12697" s="3">
        <f>HYPERLINK("https://sao.dolgi.msk.ru/account/1404208152/", 1404208152)</f>
        <v>1404208152</v>
      </c>
      <c r="F12697">
        <v>3001.69</v>
      </c>
    </row>
    <row r="12698" spans="1:6" hidden="1" x14ac:dyDescent="0.25">
      <c r="A12698" t="s">
        <v>711</v>
      </c>
      <c r="B12698" t="s">
        <v>254</v>
      </c>
      <c r="E12698" s="3">
        <f>HYPERLINK("https://sao.dolgi.msk.ru/account/1404208945/", 1404208945)</f>
        <v>1404208945</v>
      </c>
      <c r="F12698">
        <v>-1079.72</v>
      </c>
    </row>
    <row r="12699" spans="1:6" hidden="1" x14ac:dyDescent="0.25">
      <c r="A12699" t="s">
        <v>711</v>
      </c>
      <c r="B12699" t="s">
        <v>255</v>
      </c>
      <c r="E12699" s="3">
        <f>HYPERLINK("https://sao.dolgi.msk.ru/account/1404208515/", 1404208515)</f>
        <v>1404208515</v>
      </c>
      <c r="F12699">
        <v>-2690.05</v>
      </c>
    </row>
    <row r="12700" spans="1:6" x14ac:dyDescent="0.25">
      <c r="A12700" t="s">
        <v>711</v>
      </c>
      <c r="B12700" t="s">
        <v>256</v>
      </c>
      <c r="C12700" s="5" t="str">
        <f>" кв. "&amp;B12700</f>
        <v xml:space="preserve"> кв. 249</v>
      </c>
      <c r="D12700" s="5" t="str">
        <f>CONCATENATE(A12700,C12700)</f>
        <v>Фестивальная ул., дом 4 кв. 249</v>
      </c>
      <c r="E12700" s="3">
        <f>HYPERLINK("https://sao.dolgi.msk.ru/account/1404209761/", 1404209761)</f>
        <v>1404209761</v>
      </c>
      <c r="F12700">
        <v>3112.39</v>
      </c>
    </row>
    <row r="12701" spans="1:6" hidden="1" x14ac:dyDescent="0.25">
      <c r="A12701" t="s">
        <v>711</v>
      </c>
      <c r="B12701" t="s">
        <v>257</v>
      </c>
      <c r="E12701" s="3">
        <f>HYPERLINK("https://sao.dolgi.msk.ru/account/1404207141/", 1404207141)</f>
        <v>1404207141</v>
      </c>
      <c r="F12701">
        <v>-3420.34</v>
      </c>
    </row>
    <row r="12702" spans="1:6" hidden="1" x14ac:dyDescent="0.25">
      <c r="A12702" t="s">
        <v>711</v>
      </c>
      <c r="B12702" t="s">
        <v>258</v>
      </c>
      <c r="E12702" s="3">
        <f>HYPERLINK("https://sao.dolgi.msk.ru/account/1404207168/", 1404207168)</f>
        <v>1404207168</v>
      </c>
      <c r="F12702">
        <v>-2676.18</v>
      </c>
    </row>
    <row r="12703" spans="1:6" hidden="1" x14ac:dyDescent="0.25">
      <c r="A12703" t="s">
        <v>711</v>
      </c>
      <c r="B12703" t="s">
        <v>259</v>
      </c>
      <c r="E12703" s="3">
        <f>HYPERLINK("https://sao.dolgi.msk.ru/account/1404208953/", 1404208953)</f>
        <v>1404208953</v>
      </c>
      <c r="F12703">
        <v>-4552.74</v>
      </c>
    </row>
    <row r="12704" spans="1:6" hidden="1" x14ac:dyDescent="0.25">
      <c r="A12704" t="s">
        <v>711</v>
      </c>
      <c r="B12704" t="s">
        <v>260</v>
      </c>
      <c r="E12704" s="3">
        <f>HYPERLINK("https://sao.dolgi.msk.ru/account/1404209788/", 1404209788)</f>
        <v>1404209788</v>
      </c>
      <c r="F12704">
        <v>-3263.18</v>
      </c>
    </row>
    <row r="12705" spans="1:6" hidden="1" x14ac:dyDescent="0.25">
      <c r="A12705" t="s">
        <v>711</v>
      </c>
      <c r="B12705" t="s">
        <v>261</v>
      </c>
      <c r="E12705" s="3">
        <f>HYPERLINK("https://sao.dolgi.msk.ru/account/1404210172/", 1404210172)</f>
        <v>1404210172</v>
      </c>
      <c r="F12705">
        <v>-2020.82</v>
      </c>
    </row>
    <row r="12706" spans="1:6" hidden="1" x14ac:dyDescent="0.25">
      <c r="A12706" t="s">
        <v>711</v>
      </c>
      <c r="B12706" t="s">
        <v>262</v>
      </c>
      <c r="E12706" s="3">
        <f>HYPERLINK("https://sao.dolgi.msk.ru/account/1404209366/", 1404209366)</f>
        <v>1404209366</v>
      </c>
      <c r="F12706">
        <v>-4538.87</v>
      </c>
    </row>
    <row r="12707" spans="1:6" x14ac:dyDescent="0.25">
      <c r="A12707" t="s">
        <v>711</v>
      </c>
      <c r="B12707" t="s">
        <v>263</v>
      </c>
      <c r="C12707" s="5" t="str">
        <f>" кв. "&amp;B12707</f>
        <v xml:space="preserve"> кв. 256</v>
      </c>
      <c r="D12707" s="5" t="str">
        <f>CONCATENATE(A12707,C12707)</f>
        <v>Фестивальная ул., дом 4 кв. 256</v>
      </c>
      <c r="E12707" s="3">
        <f>HYPERLINK("https://sao.dolgi.msk.ru/account/1404208523/", 1404208523)</f>
        <v>1404208523</v>
      </c>
      <c r="F12707">
        <v>2337.46</v>
      </c>
    </row>
    <row r="12708" spans="1:6" hidden="1" x14ac:dyDescent="0.25">
      <c r="A12708" t="s">
        <v>711</v>
      </c>
      <c r="B12708" t="s">
        <v>264</v>
      </c>
      <c r="E12708" s="3">
        <f>HYPERLINK("https://sao.dolgi.msk.ru/account/1404207176/", 1404207176)</f>
        <v>1404207176</v>
      </c>
      <c r="F12708">
        <v>-2680.8</v>
      </c>
    </row>
    <row r="12709" spans="1:6" hidden="1" x14ac:dyDescent="0.25">
      <c r="A12709" t="s">
        <v>711</v>
      </c>
      <c r="B12709" t="s">
        <v>265</v>
      </c>
      <c r="E12709" s="3">
        <f>HYPERLINK("https://sao.dolgi.msk.ru/account/1404208179/", 1404208179)</f>
        <v>1404208179</v>
      </c>
      <c r="F12709">
        <v>-1192.06</v>
      </c>
    </row>
    <row r="12710" spans="1:6" hidden="1" x14ac:dyDescent="0.25">
      <c r="A12710" t="s">
        <v>711</v>
      </c>
      <c r="B12710" t="s">
        <v>266</v>
      </c>
      <c r="E12710" s="3">
        <f>HYPERLINK("https://sao.dolgi.msk.ru/account/1404208531/", 1404208531)</f>
        <v>1404208531</v>
      </c>
      <c r="F12710">
        <v>0</v>
      </c>
    </row>
    <row r="12711" spans="1:6" hidden="1" x14ac:dyDescent="0.25">
      <c r="A12711" t="s">
        <v>711</v>
      </c>
      <c r="B12711" t="s">
        <v>267</v>
      </c>
      <c r="E12711" s="3">
        <f>HYPERLINK("https://sao.dolgi.msk.ru/account/1404209374/", 1404209374)</f>
        <v>1404209374</v>
      </c>
      <c r="F12711">
        <v>-1739.66</v>
      </c>
    </row>
    <row r="12712" spans="1:6" hidden="1" x14ac:dyDescent="0.25">
      <c r="A12712" t="s">
        <v>711</v>
      </c>
      <c r="B12712" t="s">
        <v>268</v>
      </c>
      <c r="E12712" s="3">
        <f>HYPERLINK("https://sao.dolgi.msk.ru/account/1404208558/", 1404208558)</f>
        <v>1404208558</v>
      </c>
      <c r="F12712">
        <v>-4538.87</v>
      </c>
    </row>
    <row r="12713" spans="1:6" hidden="1" x14ac:dyDescent="0.25">
      <c r="A12713" t="s">
        <v>711</v>
      </c>
      <c r="B12713" t="s">
        <v>269</v>
      </c>
      <c r="E12713" s="3">
        <f>HYPERLINK("https://sao.dolgi.msk.ru/account/1404208187/", 1404208187)</f>
        <v>1404208187</v>
      </c>
      <c r="F12713">
        <v>-3429.57</v>
      </c>
    </row>
    <row r="12714" spans="1:6" hidden="1" x14ac:dyDescent="0.25">
      <c r="A12714" t="s">
        <v>711</v>
      </c>
      <c r="B12714" t="s">
        <v>270</v>
      </c>
      <c r="E12714" s="3">
        <f>HYPERLINK("https://sao.dolgi.msk.ru/account/1404208961/", 1404208961)</f>
        <v>1404208961</v>
      </c>
      <c r="F12714">
        <v>0</v>
      </c>
    </row>
    <row r="12715" spans="1:6" hidden="1" x14ac:dyDescent="0.25">
      <c r="A12715" t="s">
        <v>711</v>
      </c>
      <c r="B12715" t="s">
        <v>271</v>
      </c>
      <c r="E12715" s="3">
        <f>HYPERLINK("https://sao.dolgi.msk.ru/account/1404208988/", 1404208988)</f>
        <v>1404208988</v>
      </c>
      <c r="F12715">
        <v>-4571.2299999999996</v>
      </c>
    </row>
    <row r="12716" spans="1:6" hidden="1" x14ac:dyDescent="0.25">
      <c r="A12716" t="s">
        <v>711</v>
      </c>
      <c r="B12716" t="s">
        <v>272</v>
      </c>
      <c r="E12716" s="3">
        <f>HYPERLINK("https://sao.dolgi.msk.ru/account/1404208566/", 1404208566)</f>
        <v>1404208566</v>
      </c>
      <c r="F12716">
        <v>-2662.3</v>
      </c>
    </row>
    <row r="12717" spans="1:6" hidden="1" x14ac:dyDescent="0.25">
      <c r="A12717" t="s">
        <v>711</v>
      </c>
      <c r="B12717" t="s">
        <v>273</v>
      </c>
      <c r="E12717" s="3">
        <f>HYPERLINK("https://sao.dolgi.msk.ru/account/1404209796/", 1404209796)</f>
        <v>1404209796</v>
      </c>
      <c r="F12717">
        <v>-1747.45</v>
      </c>
    </row>
    <row r="12718" spans="1:6" hidden="1" x14ac:dyDescent="0.25">
      <c r="A12718" t="s">
        <v>711</v>
      </c>
      <c r="B12718" t="s">
        <v>274</v>
      </c>
      <c r="E12718" s="3">
        <f>HYPERLINK("https://sao.dolgi.msk.ru/account/1404209411/", 1404209411)</f>
        <v>1404209411</v>
      </c>
      <c r="F12718">
        <v>-4552.74</v>
      </c>
    </row>
    <row r="12719" spans="1:6" hidden="1" x14ac:dyDescent="0.25">
      <c r="A12719" t="s">
        <v>711</v>
      </c>
      <c r="B12719" t="s">
        <v>275</v>
      </c>
      <c r="E12719" s="3">
        <f>HYPERLINK("https://sao.dolgi.msk.ru/account/1404208611/", 1404208611)</f>
        <v>1404208611</v>
      </c>
      <c r="F12719">
        <v>-2362.46</v>
      </c>
    </row>
    <row r="12720" spans="1:6" x14ac:dyDescent="0.25">
      <c r="A12720" t="s">
        <v>711</v>
      </c>
      <c r="B12720" t="s">
        <v>276</v>
      </c>
      <c r="C12720" s="5" t="str">
        <f>" кв. "&amp;B12720</f>
        <v xml:space="preserve"> кв. 269</v>
      </c>
      <c r="D12720" s="5" t="str">
        <f>CONCATENATE(A12720,C12720)</f>
        <v>Фестивальная ул., дом 4 кв. 269</v>
      </c>
      <c r="E12720" s="3">
        <f>HYPERLINK("https://sao.dolgi.msk.ru/account/1404208195/", 1404208195)</f>
        <v>1404208195</v>
      </c>
      <c r="F12720">
        <v>1834.54</v>
      </c>
    </row>
    <row r="12721" spans="1:6" hidden="1" x14ac:dyDescent="0.25">
      <c r="A12721" t="s">
        <v>711</v>
      </c>
      <c r="B12721" t="s">
        <v>277</v>
      </c>
      <c r="E12721" s="3">
        <f>HYPERLINK("https://sao.dolgi.msk.ru/account/1404209016/", 1404209016)</f>
        <v>1404209016</v>
      </c>
      <c r="F12721">
        <v>0</v>
      </c>
    </row>
    <row r="12722" spans="1:6" hidden="1" x14ac:dyDescent="0.25">
      <c r="A12722" t="s">
        <v>711</v>
      </c>
      <c r="B12722" t="s">
        <v>278</v>
      </c>
      <c r="E12722" s="3">
        <f>HYPERLINK("https://sao.dolgi.msk.ru/account/1404210236/", 1404210236)</f>
        <v>1404210236</v>
      </c>
      <c r="F12722">
        <v>-2370.25</v>
      </c>
    </row>
    <row r="12723" spans="1:6" hidden="1" x14ac:dyDescent="0.25">
      <c r="A12723" t="s">
        <v>711</v>
      </c>
      <c r="B12723" t="s">
        <v>279</v>
      </c>
      <c r="E12723" s="3">
        <f>HYPERLINK("https://sao.dolgi.msk.ru/account/1404207256/", 1404207256)</f>
        <v>1404207256</v>
      </c>
      <c r="F12723">
        <v>-1936.65</v>
      </c>
    </row>
    <row r="12724" spans="1:6" hidden="1" x14ac:dyDescent="0.25">
      <c r="A12724" t="s">
        <v>711</v>
      </c>
      <c r="B12724" t="s">
        <v>280</v>
      </c>
      <c r="E12724" s="3">
        <f>HYPERLINK("https://sao.dolgi.msk.ru/account/1404209438/", 1404209438)</f>
        <v>1404209438</v>
      </c>
      <c r="F12724">
        <v>-4557.3599999999997</v>
      </c>
    </row>
    <row r="12725" spans="1:6" hidden="1" x14ac:dyDescent="0.25">
      <c r="A12725" t="s">
        <v>711</v>
      </c>
      <c r="B12725" t="s">
        <v>281</v>
      </c>
      <c r="E12725" s="3">
        <f>HYPERLINK("https://sao.dolgi.msk.ru/account/1404207694/", 1404207694)</f>
        <v>1404207694</v>
      </c>
      <c r="F12725">
        <v>0</v>
      </c>
    </row>
    <row r="12726" spans="1:6" x14ac:dyDescent="0.25">
      <c r="A12726" t="s">
        <v>711</v>
      </c>
      <c r="B12726" t="s">
        <v>282</v>
      </c>
      <c r="C12726" s="5" t="str">
        <f t="shared" ref="C12726:C12727" si="519">" кв. "&amp;B12726</f>
        <v xml:space="preserve"> кв. 275</v>
      </c>
      <c r="D12726" s="5" t="str">
        <f>CONCATENATE(A12726,C12726)</f>
        <v>Фестивальная ул., дом 4 кв. 275</v>
      </c>
      <c r="E12726" s="3">
        <f>HYPERLINK("https://sao.dolgi.msk.ru/account/1404207707/", 1404207707)</f>
        <v>1404207707</v>
      </c>
      <c r="F12726">
        <v>1850.36</v>
      </c>
    </row>
    <row r="12727" spans="1:6" x14ac:dyDescent="0.25">
      <c r="A12727" t="s">
        <v>711</v>
      </c>
      <c r="B12727" t="s">
        <v>283</v>
      </c>
      <c r="C12727" s="5" t="str">
        <f t="shared" si="519"/>
        <v xml:space="preserve"> кв. 276</v>
      </c>
      <c r="D12727" s="5" t="str">
        <f>CONCATENATE(A12727,C12727)</f>
        <v>Фестивальная ул., дом 4 кв. 276</v>
      </c>
      <c r="E12727" s="3">
        <f>HYPERLINK("https://sao.dolgi.msk.ru/account/1404209024/", 1404209024)</f>
        <v>1404209024</v>
      </c>
      <c r="F12727">
        <v>3109.23</v>
      </c>
    </row>
    <row r="12728" spans="1:6" hidden="1" x14ac:dyDescent="0.25">
      <c r="A12728" t="s">
        <v>711</v>
      </c>
      <c r="B12728" t="s">
        <v>284</v>
      </c>
      <c r="E12728" s="3">
        <f>HYPERLINK("https://sao.dolgi.msk.ru/account/1404209032/", 1404209032)</f>
        <v>1404209032</v>
      </c>
      <c r="F12728">
        <v>-3406.47</v>
      </c>
    </row>
    <row r="12729" spans="1:6" hidden="1" x14ac:dyDescent="0.25">
      <c r="A12729" t="s">
        <v>711</v>
      </c>
      <c r="B12729" t="s">
        <v>285</v>
      </c>
      <c r="E12729" s="3">
        <f>HYPERLINK("https://sao.dolgi.msk.ru/account/1404207264/", 1404207264)</f>
        <v>1404207264</v>
      </c>
      <c r="F12729">
        <v>0</v>
      </c>
    </row>
    <row r="12730" spans="1:6" hidden="1" x14ac:dyDescent="0.25">
      <c r="A12730" t="s">
        <v>711</v>
      </c>
      <c r="B12730" t="s">
        <v>286</v>
      </c>
      <c r="E12730" s="3">
        <f>HYPERLINK("https://sao.dolgi.msk.ru/account/1404208638/", 1404208638)</f>
        <v>1404208638</v>
      </c>
      <c r="F12730">
        <v>0</v>
      </c>
    </row>
    <row r="12731" spans="1:6" x14ac:dyDescent="0.25">
      <c r="A12731" t="s">
        <v>712</v>
      </c>
      <c r="B12731" t="s">
        <v>7</v>
      </c>
      <c r="C12731" s="5" t="str">
        <f>" кв. "&amp;B12731</f>
        <v xml:space="preserve"> кв. 3</v>
      </c>
      <c r="D12731" s="5" t="str">
        <f>CONCATENATE(A12731,C12731)</f>
        <v>Фестивальная ул., дом 5 кв. 3</v>
      </c>
      <c r="E12731" s="3">
        <f>HYPERLINK("https://sao.dolgi.msk.ru/account/1404132338/", 1404132338)</f>
        <v>1404132338</v>
      </c>
      <c r="F12731">
        <v>9828.14</v>
      </c>
    </row>
    <row r="12732" spans="1:6" hidden="1" x14ac:dyDescent="0.25">
      <c r="A12732" t="s">
        <v>712</v>
      </c>
      <c r="B12732" t="s">
        <v>8</v>
      </c>
      <c r="E12732" s="3">
        <f>HYPERLINK("https://sao.dolgi.msk.ru/account/1404132071/", 1404132071)</f>
        <v>1404132071</v>
      </c>
      <c r="F12732">
        <v>-1139.3399999999999</v>
      </c>
    </row>
    <row r="12733" spans="1:6" hidden="1" x14ac:dyDescent="0.25">
      <c r="A12733" t="s">
        <v>712</v>
      </c>
      <c r="B12733" t="s">
        <v>9</v>
      </c>
      <c r="E12733" s="3">
        <f>HYPERLINK("https://sao.dolgi.msk.ru/account/1404132522/", 1404132522)</f>
        <v>1404132522</v>
      </c>
      <c r="F12733">
        <v>-3790.13</v>
      </c>
    </row>
    <row r="12734" spans="1:6" hidden="1" x14ac:dyDescent="0.25">
      <c r="A12734" t="s">
        <v>712</v>
      </c>
      <c r="B12734" t="s">
        <v>10</v>
      </c>
      <c r="E12734" s="3">
        <f>HYPERLINK("https://sao.dolgi.msk.ru/account/1404133242/", 1404133242)</f>
        <v>1404133242</v>
      </c>
      <c r="F12734">
        <v>-4486.3500000000004</v>
      </c>
    </row>
    <row r="12735" spans="1:6" hidden="1" x14ac:dyDescent="0.25">
      <c r="A12735" t="s">
        <v>712</v>
      </c>
      <c r="B12735" t="s">
        <v>11</v>
      </c>
      <c r="E12735" s="3">
        <f>HYPERLINK("https://sao.dolgi.msk.ru/account/1404133007/", 1404133007)</f>
        <v>1404133007</v>
      </c>
      <c r="F12735">
        <v>-5127.6000000000004</v>
      </c>
    </row>
    <row r="12736" spans="1:6" hidden="1" x14ac:dyDescent="0.25">
      <c r="A12736" t="s">
        <v>712</v>
      </c>
      <c r="B12736" t="s">
        <v>12</v>
      </c>
      <c r="E12736" s="3">
        <f>HYPERLINK("https://sao.dolgi.msk.ru/account/1404132135/", 1404132135)</f>
        <v>1404132135</v>
      </c>
      <c r="F12736">
        <v>-3600.93</v>
      </c>
    </row>
    <row r="12737" spans="1:6" hidden="1" x14ac:dyDescent="0.25">
      <c r="A12737" t="s">
        <v>712</v>
      </c>
      <c r="B12737" t="s">
        <v>13</v>
      </c>
      <c r="E12737" s="3">
        <f>HYPERLINK("https://sao.dolgi.msk.ru/account/1404133314/", 1404133314)</f>
        <v>1404133314</v>
      </c>
      <c r="F12737">
        <v>-4977.87</v>
      </c>
    </row>
    <row r="12738" spans="1:6" x14ac:dyDescent="0.25">
      <c r="A12738" t="s">
        <v>712</v>
      </c>
      <c r="B12738" t="s">
        <v>14</v>
      </c>
      <c r="C12738" s="5" t="str">
        <f>" кв. "&amp;B12738</f>
        <v xml:space="preserve"> кв. 10</v>
      </c>
      <c r="D12738" s="5" t="str">
        <f>CONCATENATE(A12738,C12738)</f>
        <v>Фестивальная ул., дом 5 кв. 10</v>
      </c>
      <c r="E12738" s="3">
        <f>HYPERLINK("https://sao.dolgi.msk.ru/account/1404132426/", 1404132426)</f>
        <v>1404132426</v>
      </c>
      <c r="F12738">
        <v>9834.06</v>
      </c>
    </row>
    <row r="12739" spans="1:6" hidden="1" x14ac:dyDescent="0.25">
      <c r="A12739" t="s">
        <v>712</v>
      </c>
      <c r="B12739" t="s">
        <v>15</v>
      </c>
      <c r="E12739" s="3">
        <f>HYPERLINK("https://sao.dolgi.msk.ru/account/1404132442/", 1404132442)</f>
        <v>1404132442</v>
      </c>
      <c r="F12739">
        <v>0</v>
      </c>
    </row>
    <row r="12740" spans="1:6" hidden="1" x14ac:dyDescent="0.25">
      <c r="A12740" t="s">
        <v>712</v>
      </c>
      <c r="B12740" t="s">
        <v>16</v>
      </c>
      <c r="E12740" s="3">
        <f>HYPERLINK("https://sao.dolgi.msk.ru/account/1404132231/", 1404132231)</f>
        <v>1404132231</v>
      </c>
      <c r="F12740">
        <v>-2207.9</v>
      </c>
    </row>
    <row r="12741" spans="1:6" hidden="1" x14ac:dyDescent="0.25">
      <c r="A12741" t="s">
        <v>712</v>
      </c>
      <c r="B12741" t="s">
        <v>17</v>
      </c>
      <c r="E12741" s="3">
        <f>HYPERLINK("https://sao.dolgi.msk.ru/account/1404132274/", 1404132274)</f>
        <v>1404132274</v>
      </c>
      <c r="F12741">
        <v>-3186.1</v>
      </c>
    </row>
    <row r="12742" spans="1:6" hidden="1" x14ac:dyDescent="0.25">
      <c r="A12742" t="s">
        <v>712</v>
      </c>
      <c r="B12742" t="s">
        <v>18</v>
      </c>
      <c r="E12742" s="3">
        <f>HYPERLINK("https://sao.dolgi.msk.ru/account/1404132709/", 1404132709)</f>
        <v>1404132709</v>
      </c>
      <c r="F12742">
        <v>-4643</v>
      </c>
    </row>
    <row r="12743" spans="1:6" hidden="1" x14ac:dyDescent="0.25">
      <c r="A12743" t="s">
        <v>712</v>
      </c>
      <c r="B12743" t="s">
        <v>19</v>
      </c>
      <c r="E12743" s="3">
        <f>HYPERLINK("https://sao.dolgi.msk.ru/account/1404132311/", 1404132311)</f>
        <v>1404132311</v>
      </c>
      <c r="F12743">
        <v>0</v>
      </c>
    </row>
    <row r="12744" spans="1:6" hidden="1" x14ac:dyDescent="0.25">
      <c r="A12744" t="s">
        <v>712</v>
      </c>
      <c r="B12744" t="s">
        <v>20</v>
      </c>
      <c r="E12744" s="3">
        <f>HYPERLINK("https://sao.dolgi.msk.ru/account/1404132936/", 1404132936)</f>
        <v>1404132936</v>
      </c>
      <c r="F12744">
        <v>0</v>
      </c>
    </row>
    <row r="12745" spans="1:6" hidden="1" x14ac:dyDescent="0.25">
      <c r="A12745" t="s">
        <v>712</v>
      </c>
      <c r="B12745" t="s">
        <v>21</v>
      </c>
      <c r="E12745" s="3">
        <f>HYPERLINK("https://sao.dolgi.msk.ru/account/1404133111/", 1404133111)</f>
        <v>1404133111</v>
      </c>
      <c r="F12745">
        <v>-1912.82</v>
      </c>
    </row>
    <row r="12746" spans="1:6" hidden="1" x14ac:dyDescent="0.25">
      <c r="A12746" t="s">
        <v>712</v>
      </c>
      <c r="B12746" t="s">
        <v>22</v>
      </c>
      <c r="E12746" s="3">
        <f>HYPERLINK("https://sao.dolgi.msk.ru/account/1404132688/", 1404132688)</f>
        <v>1404132688</v>
      </c>
      <c r="F12746">
        <v>-1944.04</v>
      </c>
    </row>
    <row r="12747" spans="1:6" hidden="1" x14ac:dyDescent="0.25">
      <c r="A12747" t="s">
        <v>712</v>
      </c>
      <c r="B12747" t="s">
        <v>22</v>
      </c>
      <c r="E12747" s="3">
        <f>HYPERLINK("https://sao.dolgi.msk.ru/account/1404133373/", 1404133373)</f>
        <v>1404133373</v>
      </c>
      <c r="F12747">
        <v>-1819.39</v>
      </c>
    </row>
    <row r="12748" spans="1:6" hidden="1" x14ac:dyDescent="0.25">
      <c r="A12748" t="s">
        <v>712</v>
      </c>
      <c r="B12748" t="s">
        <v>23</v>
      </c>
      <c r="E12748" s="3">
        <f>HYPERLINK("https://sao.dolgi.msk.ru/account/1404133138/", 1404133138)</f>
        <v>1404133138</v>
      </c>
      <c r="F12748">
        <v>-4670.6099999999997</v>
      </c>
    </row>
    <row r="12749" spans="1:6" hidden="1" x14ac:dyDescent="0.25">
      <c r="A12749" t="s">
        <v>712</v>
      </c>
      <c r="B12749" t="s">
        <v>24</v>
      </c>
      <c r="E12749" s="3">
        <f>HYPERLINK("https://sao.dolgi.msk.ru/account/1404132725/", 1404132725)</f>
        <v>1404132725</v>
      </c>
      <c r="F12749">
        <v>-5361.6</v>
      </c>
    </row>
    <row r="12750" spans="1:6" hidden="1" x14ac:dyDescent="0.25">
      <c r="A12750" t="s">
        <v>712</v>
      </c>
      <c r="B12750" t="s">
        <v>25</v>
      </c>
      <c r="E12750" s="3">
        <f>HYPERLINK("https://sao.dolgi.msk.ru/account/1404132733/", 1404132733)</f>
        <v>1404132733</v>
      </c>
      <c r="F12750">
        <v>-253.26</v>
      </c>
    </row>
    <row r="12751" spans="1:6" hidden="1" x14ac:dyDescent="0.25">
      <c r="A12751" t="s">
        <v>712</v>
      </c>
      <c r="B12751" t="s">
        <v>26</v>
      </c>
      <c r="E12751" s="3">
        <f>HYPERLINK("https://sao.dolgi.msk.ru/account/1404133381/", 1404133381)</f>
        <v>1404133381</v>
      </c>
      <c r="F12751">
        <v>-4562.6000000000004</v>
      </c>
    </row>
    <row r="12752" spans="1:6" hidden="1" x14ac:dyDescent="0.25">
      <c r="A12752" t="s">
        <v>712</v>
      </c>
      <c r="B12752" t="s">
        <v>27</v>
      </c>
      <c r="E12752" s="3">
        <f>HYPERLINK("https://sao.dolgi.msk.ru/account/1404133146/", 1404133146)</f>
        <v>1404133146</v>
      </c>
      <c r="F12752">
        <v>-3858.91</v>
      </c>
    </row>
    <row r="12753" spans="1:6" hidden="1" x14ac:dyDescent="0.25">
      <c r="A12753" t="s">
        <v>712</v>
      </c>
      <c r="B12753" t="s">
        <v>28</v>
      </c>
      <c r="E12753" s="3">
        <f>HYPERLINK("https://sao.dolgi.msk.ru/account/1404133728/", 1404133728)</f>
        <v>1404133728</v>
      </c>
      <c r="F12753">
        <v>-286.89</v>
      </c>
    </row>
    <row r="12754" spans="1:6" hidden="1" x14ac:dyDescent="0.25">
      <c r="A12754" t="s">
        <v>712</v>
      </c>
      <c r="B12754" t="s">
        <v>29</v>
      </c>
      <c r="E12754" s="3">
        <f>HYPERLINK("https://sao.dolgi.msk.ru/account/1404133736/", 1404133736)</f>
        <v>1404133736</v>
      </c>
      <c r="F12754">
        <v>-2673.43</v>
      </c>
    </row>
    <row r="12755" spans="1:6" hidden="1" x14ac:dyDescent="0.25">
      <c r="A12755" t="s">
        <v>712</v>
      </c>
      <c r="B12755" t="s">
        <v>30</v>
      </c>
      <c r="E12755" s="3">
        <f>HYPERLINK("https://sao.dolgi.msk.ru/account/1404132944/", 1404132944)</f>
        <v>1404132944</v>
      </c>
      <c r="F12755">
        <v>-2746.98</v>
      </c>
    </row>
    <row r="12756" spans="1:6" hidden="1" x14ac:dyDescent="0.25">
      <c r="A12756" t="s">
        <v>712</v>
      </c>
      <c r="B12756" t="s">
        <v>31</v>
      </c>
      <c r="E12756" s="3">
        <f>HYPERLINK("https://sao.dolgi.msk.ru/account/1404133744/", 1404133744)</f>
        <v>1404133744</v>
      </c>
      <c r="F12756">
        <v>-4866.24</v>
      </c>
    </row>
    <row r="12757" spans="1:6" hidden="1" x14ac:dyDescent="0.25">
      <c r="A12757" t="s">
        <v>712</v>
      </c>
      <c r="B12757" t="s">
        <v>32</v>
      </c>
      <c r="E12757" s="3">
        <f>HYPERLINK("https://sao.dolgi.msk.ru/account/1404132741/", 1404132741)</f>
        <v>1404132741</v>
      </c>
      <c r="F12757">
        <v>-3061.32</v>
      </c>
    </row>
    <row r="12758" spans="1:6" x14ac:dyDescent="0.25">
      <c r="A12758" t="s">
        <v>712</v>
      </c>
      <c r="B12758" t="s">
        <v>33</v>
      </c>
      <c r="C12758" s="5" t="str">
        <f>" кв. "&amp;B12758</f>
        <v xml:space="preserve"> кв. 29</v>
      </c>
      <c r="D12758" s="5" t="str">
        <f>CONCATENATE(A12758,C12758)</f>
        <v>Фестивальная ул., дом 5 кв. 29</v>
      </c>
      <c r="E12758" s="3">
        <f>HYPERLINK("https://sao.dolgi.msk.ru/account/1404132952/", 1404132952)</f>
        <v>1404132952</v>
      </c>
      <c r="F12758">
        <v>4610.59</v>
      </c>
    </row>
    <row r="12759" spans="1:6" hidden="1" x14ac:dyDescent="0.25">
      <c r="A12759" t="s">
        <v>712</v>
      </c>
      <c r="B12759" t="s">
        <v>34</v>
      </c>
      <c r="E12759" s="3">
        <f>HYPERLINK("https://sao.dolgi.msk.ru/account/1404133154/", 1404133154)</f>
        <v>1404133154</v>
      </c>
      <c r="F12759">
        <v>-120.71</v>
      </c>
    </row>
    <row r="12760" spans="1:6" hidden="1" x14ac:dyDescent="0.25">
      <c r="A12760" t="s">
        <v>712</v>
      </c>
      <c r="B12760" t="s">
        <v>35</v>
      </c>
      <c r="E12760" s="3">
        <f>HYPERLINK("https://sao.dolgi.msk.ru/account/1404132346/", 1404132346)</f>
        <v>1404132346</v>
      </c>
      <c r="F12760">
        <v>-3989.58</v>
      </c>
    </row>
    <row r="12761" spans="1:6" x14ac:dyDescent="0.25">
      <c r="A12761" t="s">
        <v>712</v>
      </c>
      <c r="B12761" t="s">
        <v>36</v>
      </c>
      <c r="C12761" s="5" t="str">
        <f>" кв. "&amp;B12761</f>
        <v xml:space="preserve"> кв. 32</v>
      </c>
      <c r="D12761" s="5" t="str">
        <f>CONCATENATE(A12761,C12761)</f>
        <v>Фестивальная ул., дом 5 кв. 32</v>
      </c>
      <c r="E12761" s="3">
        <f>HYPERLINK("https://sao.dolgi.msk.ru/account/1404133162/", 1404133162)</f>
        <v>1404133162</v>
      </c>
      <c r="F12761">
        <v>33914.230000000003</v>
      </c>
    </row>
    <row r="12762" spans="1:6" hidden="1" x14ac:dyDescent="0.25">
      <c r="A12762" t="s">
        <v>712</v>
      </c>
      <c r="B12762" t="s">
        <v>37</v>
      </c>
      <c r="E12762" s="3">
        <f>HYPERLINK("https://sao.dolgi.msk.ru/account/1404132979/", 1404132979)</f>
        <v>1404132979</v>
      </c>
      <c r="F12762">
        <v>-2374.37</v>
      </c>
    </row>
    <row r="12763" spans="1:6" hidden="1" x14ac:dyDescent="0.25">
      <c r="A12763" t="s">
        <v>712</v>
      </c>
      <c r="B12763" t="s">
        <v>38</v>
      </c>
      <c r="E12763" s="3">
        <f>HYPERLINK("https://sao.dolgi.msk.ru/account/1404133402/", 1404133402)</f>
        <v>1404133402</v>
      </c>
      <c r="F12763">
        <v>-1182.77</v>
      </c>
    </row>
    <row r="12764" spans="1:6" hidden="1" x14ac:dyDescent="0.25">
      <c r="A12764" t="s">
        <v>712</v>
      </c>
      <c r="B12764" t="s">
        <v>39</v>
      </c>
      <c r="E12764" s="3">
        <f>HYPERLINK("https://sao.dolgi.msk.ru/account/1404133429/", 1404133429)</f>
        <v>1404133429</v>
      </c>
      <c r="F12764">
        <v>0</v>
      </c>
    </row>
    <row r="12765" spans="1:6" hidden="1" x14ac:dyDescent="0.25">
      <c r="A12765" t="s">
        <v>712</v>
      </c>
      <c r="B12765" t="s">
        <v>40</v>
      </c>
      <c r="E12765" s="3">
        <f>HYPERLINK("https://sao.dolgi.msk.ru/account/1404132768/", 1404132768)</f>
        <v>1404132768</v>
      </c>
      <c r="F12765">
        <v>-3369.81</v>
      </c>
    </row>
    <row r="12766" spans="1:6" hidden="1" x14ac:dyDescent="0.25">
      <c r="A12766" t="s">
        <v>712</v>
      </c>
      <c r="B12766" t="s">
        <v>41</v>
      </c>
      <c r="E12766" s="3">
        <f>HYPERLINK("https://sao.dolgi.msk.ru/account/1404133189/", 1404133189)</f>
        <v>1404133189</v>
      </c>
      <c r="F12766">
        <v>-4368.97</v>
      </c>
    </row>
    <row r="12767" spans="1:6" hidden="1" x14ac:dyDescent="0.25">
      <c r="A12767" t="s">
        <v>712</v>
      </c>
      <c r="B12767" t="s">
        <v>42</v>
      </c>
      <c r="E12767" s="3">
        <f>HYPERLINK("https://sao.dolgi.msk.ru/account/1404133197/", 1404133197)</f>
        <v>1404133197</v>
      </c>
      <c r="F12767">
        <v>-5021.68</v>
      </c>
    </row>
    <row r="12768" spans="1:6" hidden="1" x14ac:dyDescent="0.25">
      <c r="A12768" t="s">
        <v>712</v>
      </c>
      <c r="B12768" t="s">
        <v>43</v>
      </c>
      <c r="E12768" s="3">
        <f>HYPERLINK("https://sao.dolgi.msk.ru/account/1404132776/", 1404132776)</f>
        <v>1404132776</v>
      </c>
      <c r="F12768">
        <v>-3030.09</v>
      </c>
    </row>
    <row r="12769" spans="1:6" hidden="1" x14ac:dyDescent="0.25">
      <c r="A12769" t="s">
        <v>712</v>
      </c>
      <c r="B12769" t="s">
        <v>44</v>
      </c>
      <c r="E12769" s="3">
        <f>HYPERLINK("https://sao.dolgi.msk.ru/account/1404133218/", 1404133218)</f>
        <v>1404133218</v>
      </c>
      <c r="F12769">
        <v>-2532.2600000000002</v>
      </c>
    </row>
    <row r="12770" spans="1:6" hidden="1" x14ac:dyDescent="0.25">
      <c r="A12770" t="s">
        <v>712</v>
      </c>
      <c r="B12770" t="s">
        <v>45</v>
      </c>
      <c r="E12770" s="3">
        <f>HYPERLINK("https://sao.dolgi.msk.ru/account/1404133226/", 1404133226)</f>
        <v>1404133226</v>
      </c>
      <c r="F12770">
        <v>-2737.13</v>
      </c>
    </row>
    <row r="12771" spans="1:6" hidden="1" x14ac:dyDescent="0.25">
      <c r="A12771" t="s">
        <v>712</v>
      </c>
      <c r="B12771" t="s">
        <v>46</v>
      </c>
      <c r="E12771" s="3">
        <f>HYPERLINK("https://sao.dolgi.msk.ru/account/1404132987/", 1404132987)</f>
        <v>1404132987</v>
      </c>
      <c r="F12771">
        <v>-1892.62</v>
      </c>
    </row>
    <row r="12772" spans="1:6" hidden="1" x14ac:dyDescent="0.25">
      <c r="A12772" t="s">
        <v>712</v>
      </c>
      <c r="B12772" t="s">
        <v>47</v>
      </c>
      <c r="E12772" s="3">
        <f>HYPERLINK("https://sao.dolgi.msk.ru/account/1404132506/", 1404132506)</f>
        <v>1404132506</v>
      </c>
      <c r="F12772">
        <v>-230.24</v>
      </c>
    </row>
    <row r="12773" spans="1:6" hidden="1" x14ac:dyDescent="0.25">
      <c r="A12773" t="s">
        <v>712</v>
      </c>
      <c r="B12773" t="s">
        <v>48</v>
      </c>
      <c r="E12773" s="3">
        <f>HYPERLINK("https://sao.dolgi.msk.ru/account/1404133437/", 1404133437)</f>
        <v>1404133437</v>
      </c>
      <c r="F12773">
        <v>-123.02</v>
      </c>
    </row>
    <row r="12774" spans="1:6" hidden="1" x14ac:dyDescent="0.25">
      <c r="A12774" t="s">
        <v>712</v>
      </c>
      <c r="B12774" t="s">
        <v>49</v>
      </c>
      <c r="E12774" s="3">
        <f>HYPERLINK("https://sao.dolgi.msk.ru/account/1404133234/", 1404133234)</f>
        <v>1404133234</v>
      </c>
      <c r="F12774">
        <v>-4333.17</v>
      </c>
    </row>
    <row r="12775" spans="1:6" hidden="1" x14ac:dyDescent="0.25">
      <c r="A12775" t="s">
        <v>712</v>
      </c>
      <c r="B12775" t="s">
        <v>50</v>
      </c>
      <c r="E12775" s="3">
        <f>HYPERLINK("https://sao.dolgi.msk.ru/account/1404132098/", 1404132098)</f>
        <v>1404132098</v>
      </c>
      <c r="F12775">
        <v>-3181.52</v>
      </c>
    </row>
    <row r="12776" spans="1:6" hidden="1" x14ac:dyDescent="0.25">
      <c r="A12776" t="s">
        <v>712</v>
      </c>
      <c r="B12776" t="s">
        <v>51</v>
      </c>
      <c r="E12776" s="3">
        <f>HYPERLINK("https://sao.dolgi.msk.ru/account/1404132354/", 1404132354)</f>
        <v>1404132354</v>
      </c>
      <c r="F12776">
        <v>0</v>
      </c>
    </row>
    <row r="12777" spans="1:6" hidden="1" x14ac:dyDescent="0.25">
      <c r="A12777" t="s">
        <v>712</v>
      </c>
      <c r="B12777" t="s">
        <v>52</v>
      </c>
      <c r="E12777" s="3">
        <f>HYPERLINK("https://sao.dolgi.msk.ru/account/1404132514/", 1404132514)</f>
        <v>1404132514</v>
      </c>
      <c r="F12777">
        <v>-6274.94</v>
      </c>
    </row>
    <row r="12778" spans="1:6" hidden="1" x14ac:dyDescent="0.25">
      <c r="A12778" t="s">
        <v>712</v>
      </c>
      <c r="B12778" t="s">
        <v>53</v>
      </c>
      <c r="E12778" s="3">
        <f>HYPERLINK("https://sao.dolgi.msk.ru/account/1404133445/", 1404133445)</f>
        <v>1404133445</v>
      </c>
      <c r="F12778">
        <v>0</v>
      </c>
    </row>
    <row r="12779" spans="1:6" hidden="1" x14ac:dyDescent="0.25">
      <c r="A12779" t="s">
        <v>712</v>
      </c>
      <c r="B12779" t="s">
        <v>54</v>
      </c>
      <c r="E12779" s="3">
        <f>HYPERLINK("https://sao.dolgi.msk.ru/account/1404132362/", 1404132362)</f>
        <v>1404132362</v>
      </c>
      <c r="F12779">
        <v>-2310.7600000000002</v>
      </c>
    </row>
    <row r="12780" spans="1:6" hidden="1" x14ac:dyDescent="0.25">
      <c r="A12780" t="s">
        <v>712</v>
      </c>
      <c r="B12780" t="s">
        <v>55</v>
      </c>
      <c r="E12780" s="3">
        <f>HYPERLINK("https://sao.dolgi.msk.ru/account/1404133453/", 1404133453)</f>
        <v>1404133453</v>
      </c>
      <c r="F12780">
        <v>-2910.41</v>
      </c>
    </row>
    <row r="12781" spans="1:6" hidden="1" x14ac:dyDescent="0.25">
      <c r="A12781" t="s">
        <v>712</v>
      </c>
      <c r="B12781" t="s">
        <v>56</v>
      </c>
      <c r="E12781" s="3">
        <f>HYPERLINK("https://sao.dolgi.msk.ru/account/1404132549/", 1404132549)</f>
        <v>1404132549</v>
      </c>
      <c r="F12781">
        <v>-3848.28</v>
      </c>
    </row>
    <row r="12782" spans="1:6" hidden="1" x14ac:dyDescent="0.25">
      <c r="A12782" t="s">
        <v>712</v>
      </c>
      <c r="B12782" t="s">
        <v>57</v>
      </c>
      <c r="E12782" s="3">
        <f>HYPERLINK("https://sao.dolgi.msk.ru/account/1404133031/", 1404133031)</f>
        <v>1404133031</v>
      </c>
      <c r="F12782">
        <v>-5639.07</v>
      </c>
    </row>
    <row r="12783" spans="1:6" hidden="1" x14ac:dyDescent="0.25">
      <c r="A12783" t="s">
        <v>712</v>
      </c>
      <c r="B12783" t="s">
        <v>58</v>
      </c>
      <c r="E12783" s="3">
        <f>HYPERLINK("https://sao.dolgi.msk.ru/account/1404132389/", 1404132389)</f>
        <v>1404132389</v>
      </c>
      <c r="F12783">
        <v>-6648.78</v>
      </c>
    </row>
    <row r="12784" spans="1:6" hidden="1" x14ac:dyDescent="0.25">
      <c r="A12784" t="s">
        <v>712</v>
      </c>
      <c r="B12784" t="s">
        <v>59</v>
      </c>
      <c r="E12784" s="3">
        <f>HYPERLINK("https://sao.dolgi.msk.ru/account/1404133752/", 1404133752)</f>
        <v>1404133752</v>
      </c>
      <c r="F12784">
        <v>-1954.53</v>
      </c>
    </row>
    <row r="12785" spans="1:6" hidden="1" x14ac:dyDescent="0.25">
      <c r="A12785" t="s">
        <v>712</v>
      </c>
      <c r="B12785" t="s">
        <v>60</v>
      </c>
      <c r="E12785" s="3">
        <f>HYPERLINK("https://sao.dolgi.msk.ru/account/1404132805/", 1404132805)</f>
        <v>1404132805</v>
      </c>
      <c r="F12785">
        <v>-1369.99</v>
      </c>
    </row>
    <row r="12786" spans="1:6" hidden="1" x14ac:dyDescent="0.25">
      <c r="A12786" t="s">
        <v>712</v>
      </c>
      <c r="B12786" t="s">
        <v>60</v>
      </c>
      <c r="E12786" s="3">
        <f>HYPERLINK("https://sao.dolgi.msk.ru/account/1404133461/", 1404133461)</f>
        <v>1404133461</v>
      </c>
      <c r="F12786">
        <v>-2502.4499999999998</v>
      </c>
    </row>
    <row r="12787" spans="1:6" hidden="1" x14ac:dyDescent="0.25">
      <c r="A12787" t="s">
        <v>712</v>
      </c>
      <c r="B12787" t="s">
        <v>61</v>
      </c>
      <c r="E12787" s="3">
        <f>HYPERLINK("https://sao.dolgi.msk.ru/account/1404132784/", 1404132784)</f>
        <v>1404132784</v>
      </c>
      <c r="F12787">
        <v>-3528.63</v>
      </c>
    </row>
    <row r="12788" spans="1:6" hidden="1" x14ac:dyDescent="0.25">
      <c r="A12788" t="s">
        <v>712</v>
      </c>
      <c r="B12788" t="s">
        <v>62</v>
      </c>
      <c r="E12788" s="3">
        <f>HYPERLINK("https://sao.dolgi.msk.ru/account/1404133779/", 1404133779)</f>
        <v>1404133779</v>
      </c>
      <c r="F12788">
        <v>-3264.36</v>
      </c>
    </row>
    <row r="12789" spans="1:6" hidden="1" x14ac:dyDescent="0.25">
      <c r="A12789" t="s">
        <v>712</v>
      </c>
      <c r="B12789" t="s">
        <v>63</v>
      </c>
      <c r="E12789" s="3">
        <f>HYPERLINK("https://sao.dolgi.msk.ru/account/1404132995/", 1404132995)</f>
        <v>1404132995</v>
      </c>
      <c r="F12789">
        <v>-5654.78</v>
      </c>
    </row>
    <row r="12790" spans="1:6" hidden="1" x14ac:dyDescent="0.25">
      <c r="A12790" t="s">
        <v>712</v>
      </c>
      <c r="B12790" t="s">
        <v>64</v>
      </c>
      <c r="E12790" s="3">
        <f>HYPERLINK("https://sao.dolgi.msk.ru/account/1404132557/", 1404132557)</f>
        <v>1404132557</v>
      </c>
      <c r="F12790">
        <v>-2328.04</v>
      </c>
    </row>
    <row r="12791" spans="1:6" hidden="1" x14ac:dyDescent="0.25">
      <c r="A12791" t="s">
        <v>712</v>
      </c>
      <c r="B12791" t="s">
        <v>65</v>
      </c>
      <c r="E12791" s="3">
        <f>HYPERLINK("https://sao.dolgi.msk.ru/account/1404133349/", 1404133349)</f>
        <v>1404133349</v>
      </c>
      <c r="F12791">
        <v>-3029.91</v>
      </c>
    </row>
    <row r="12792" spans="1:6" hidden="1" x14ac:dyDescent="0.25">
      <c r="A12792" t="s">
        <v>712</v>
      </c>
      <c r="B12792" t="s">
        <v>65</v>
      </c>
      <c r="E12792" s="3">
        <f>HYPERLINK("https://sao.dolgi.msk.ru/account/1404133787/", 1404133787)</f>
        <v>1404133787</v>
      </c>
      <c r="F12792">
        <v>-774.31</v>
      </c>
    </row>
    <row r="12793" spans="1:6" hidden="1" x14ac:dyDescent="0.25">
      <c r="A12793" t="s">
        <v>712</v>
      </c>
      <c r="B12793" t="s">
        <v>66</v>
      </c>
      <c r="E12793" s="3">
        <f>HYPERLINK("https://sao.dolgi.msk.ru/account/1404132397/", 1404132397)</f>
        <v>1404132397</v>
      </c>
      <c r="F12793">
        <v>-4990.12</v>
      </c>
    </row>
    <row r="12794" spans="1:6" hidden="1" x14ac:dyDescent="0.25">
      <c r="A12794" t="s">
        <v>712</v>
      </c>
      <c r="B12794" t="s">
        <v>67</v>
      </c>
      <c r="E12794" s="3">
        <f>HYPERLINK("https://sao.dolgi.msk.ru/account/1404132792/", 1404132792)</f>
        <v>1404132792</v>
      </c>
      <c r="F12794">
        <v>-551.66</v>
      </c>
    </row>
    <row r="12795" spans="1:6" hidden="1" x14ac:dyDescent="0.25">
      <c r="A12795" t="s">
        <v>712</v>
      </c>
      <c r="B12795" t="s">
        <v>68</v>
      </c>
      <c r="E12795" s="3">
        <f>HYPERLINK("https://sao.dolgi.msk.ru/account/1404132418/", 1404132418)</f>
        <v>1404132418</v>
      </c>
      <c r="F12795">
        <v>-5278.85</v>
      </c>
    </row>
    <row r="12796" spans="1:6" x14ac:dyDescent="0.25">
      <c r="A12796" t="s">
        <v>712</v>
      </c>
      <c r="B12796" t="s">
        <v>69</v>
      </c>
      <c r="C12796" s="5" t="str">
        <f>" кв. "&amp;B12796</f>
        <v xml:space="preserve"> кв. 65</v>
      </c>
      <c r="D12796" s="5" t="str">
        <f>CONCATENATE(A12796,C12796)</f>
        <v>Фестивальная ул., дом 5 кв. 65</v>
      </c>
      <c r="E12796" s="3">
        <f>HYPERLINK("https://sao.dolgi.msk.ru/account/1404133795/", 1404133795)</f>
        <v>1404133795</v>
      </c>
      <c r="F12796">
        <v>4129.51</v>
      </c>
    </row>
    <row r="12797" spans="1:6" hidden="1" x14ac:dyDescent="0.25">
      <c r="A12797" t="s">
        <v>712</v>
      </c>
      <c r="B12797" t="s">
        <v>70</v>
      </c>
      <c r="E12797" s="3">
        <f>HYPERLINK("https://sao.dolgi.msk.ru/account/1404133488/", 1404133488)</f>
        <v>1404133488</v>
      </c>
      <c r="F12797">
        <v>0</v>
      </c>
    </row>
    <row r="12798" spans="1:6" hidden="1" x14ac:dyDescent="0.25">
      <c r="A12798" t="s">
        <v>712</v>
      </c>
      <c r="B12798" t="s">
        <v>71</v>
      </c>
      <c r="E12798" s="3">
        <f>HYPERLINK("https://sao.dolgi.msk.ru/account/1404132565/", 1404132565)</f>
        <v>1404132565</v>
      </c>
      <c r="F12798">
        <v>-4021.41</v>
      </c>
    </row>
    <row r="12799" spans="1:6" hidden="1" x14ac:dyDescent="0.25">
      <c r="A12799" t="s">
        <v>712</v>
      </c>
      <c r="B12799" t="s">
        <v>72</v>
      </c>
      <c r="E12799" s="3">
        <f>HYPERLINK("https://sao.dolgi.msk.ru/account/1404132119/", 1404132119)</f>
        <v>1404132119</v>
      </c>
      <c r="F12799">
        <v>0</v>
      </c>
    </row>
    <row r="12800" spans="1:6" x14ac:dyDescent="0.25">
      <c r="A12800" t="s">
        <v>712</v>
      </c>
      <c r="B12800" t="s">
        <v>73</v>
      </c>
      <c r="C12800" s="5" t="str">
        <f>" кв. "&amp;B12800</f>
        <v xml:space="preserve"> кв. 69</v>
      </c>
      <c r="D12800" s="5" t="str">
        <f>CONCATENATE(A12800,C12800)</f>
        <v>Фестивальная ул., дом 5 кв. 69</v>
      </c>
      <c r="E12800" s="3">
        <f>HYPERLINK("https://sao.dolgi.msk.ru/account/1404132573/", 1404132573)</f>
        <v>1404132573</v>
      </c>
      <c r="F12800">
        <v>24748.51</v>
      </c>
    </row>
    <row r="12801" spans="1:6" hidden="1" x14ac:dyDescent="0.25">
      <c r="A12801" t="s">
        <v>712</v>
      </c>
      <c r="B12801" t="s">
        <v>74</v>
      </c>
      <c r="E12801" s="3">
        <f>HYPERLINK("https://sao.dolgi.msk.ru/account/1404133496/", 1404133496)</f>
        <v>1404133496</v>
      </c>
      <c r="F12801">
        <v>-4011.04</v>
      </c>
    </row>
    <row r="12802" spans="1:6" hidden="1" x14ac:dyDescent="0.25">
      <c r="A12802" t="s">
        <v>712</v>
      </c>
      <c r="B12802" t="s">
        <v>75</v>
      </c>
      <c r="E12802" s="3">
        <f>HYPERLINK("https://sao.dolgi.msk.ru/account/1404133269/", 1404133269)</f>
        <v>1404133269</v>
      </c>
      <c r="F12802">
        <v>0</v>
      </c>
    </row>
    <row r="12803" spans="1:6" hidden="1" x14ac:dyDescent="0.25">
      <c r="A12803" t="s">
        <v>712</v>
      </c>
      <c r="B12803" t="s">
        <v>76</v>
      </c>
      <c r="E12803" s="3">
        <f>HYPERLINK("https://sao.dolgi.msk.ru/account/1404133509/", 1404133509)</f>
        <v>1404133509</v>
      </c>
      <c r="F12803">
        <v>0</v>
      </c>
    </row>
    <row r="12804" spans="1:6" hidden="1" x14ac:dyDescent="0.25">
      <c r="A12804" t="s">
        <v>712</v>
      </c>
      <c r="B12804" t="s">
        <v>77</v>
      </c>
      <c r="E12804" s="3">
        <f>HYPERLINK("https://sao.dolgi.msk.ru/account/1404133277/", 1404133277)</f>
        <v>1404133277</v>
      </c>
      <c r="F12804">
        <v>-4923.22</v>
      </c>
    </row>
    <row r="12805" spans="1:6" hidden="1" x14ac:dyDescent="0.25">
      <c r="A12805" t="s">
        <v>712</v>
      </c>
      <c r="B12805" t="s">
        <v>78</v>
      </c>
      <c r="E12805" s="3">
        <f>HYPERLINK("https://sao.dolgi.msk.ru/account/1404132127/", 1404132127)</f>
        <v>1404132127</v>
      </c>
      <c r="F12805">
        <v>-4590.49</v>
      </c>
    </row>
    <row r="12806" spans="1:6" hidden="1" x14ac:dyDescent="0.25">
      <c r="A12806" t="s">
        <v>712</v>
      </c>
      <c r="B12806" t="s">
        <v>79</v>
      </c>
      <c r="E12806" s="3">
        <f>HYPERLINK("https://sao.dolgi.msk.ru/account/1404132581/", 1404132581)</f>
        <v>1404132581</v>
      </c>
      <c r="F12806">
        <v>-234.63</v>
      </c>
    </row>
    <row r="12807" spans="1:6" x14ac:dyDescent="0.25">
      <c r="A12807" t="s">
        <v>712</v>
      </c>
      <c r="B12807" t="s">
        <v>80</v>
      </c>
      <c r="C12807" s="5" t="str">
        <f>" кв. "&amp;B12807</f>
        <v xml:space="preserve"> кв. 76</v>
      </c>
      <c r="D12807" s="5" t="str">
        <f>CONCATENATE(A12807,C12807)</f>
        <v>Фестивальная ул., дом 5 кв. 76</v>
      </c>
      <c r="E12807" s="3">
        <f>HYPERLINK("https://sao.dolgi.msk.ru/account/1404132602/", 1404132602)</f>
        <v>1404132602</v>
      </c>
      <c r="F12807">
        <v>8332.94</v>
      </c>
    </row>
    <row r="12808" spans="1:6" hidden="1" x14ac:dyDescent="0.25">
      <c r="A12808" t="s">
        <v>712</v>
      </c>
      <c r="B12808" t="s">
        <v>81</v>
      </c>
      <c r="E12808" s="3">
        <f>HYPERLINK("https://sao.dolgi.msk.ru/account/1404133808/", 1404133808)</f>
        <v>1404133808</v>
      </c>
      <c r="F12808">
        <v>-2725.77</v>
      </c>
    </row>
    <row r="12809" spans="1:6" hidden="1" x14ac:dyDescent="0.25">
      <c r="A12809" t="s">
        <v>712</v>
      </c>
      <c r="B12809" t="s">
        <v>82</v>
      </c>
      <c r="E12809" s="3">
        <f>HYPERLINK("https://sao.dolgi.msk.ru/account/1404133816/", 1404133816)</f>
        <v>1404133816</v>
      </c>
      <c r="F12809">
        <v>0</v>
      </c>
    </row>
    <row r="12810" spans="1:6" hidden="1" x14ac:dyDescent="0.25">
      <c r="A12810" t="s">
        <v>712</v>
      </c>
      <c r="B12810" t="s">
        <v>83</v>
      </c>
      <c r="E12810" s="3">
        <f>HYPERLINK("https://sao.dolgi.msk.ru/account/1404133285/", 1404133285)</f>
        <v>1404133285</v>
      </c>
      <c r="F12810">
        <v>-4189.17</v>
      </c>
    </row>
    <row r="12811" spans="1:6" hidden="1" x14ac:dyDescent="0.25">
      <c r="A12811" t="s">
        <v>712</v>
      </c>
      <c r="B12811" t="s">
        <v>84</v>
      </c>
      <c r="E12811" s="3">
        <f>HYPERLINK("https://sao.dolgi.msk.ru/account/1404133517/", 1404133517)</f>
        <v>1404133517</v>
      </c>
      <c r="F12811">
        <v>-2186.37</v>
      </c>
    </row>
    <row r="12812" spans="1:6" hidden="1" x14ac:dyDescent="0.25">
      <c r="A12812" t="s">
        <v>712</v>
      </c>
      <c r="B12812" t="s">
        <v>85</v>
      </c>
      <c r="E12812" s="3">
        <f>HYPERLINK("https://sao.dolgi.msk.ru/account/1404133293/", 1404133293)</f>
        <v>1404133293</v>
      </c>
      <c r="F12812">
        <v>-2598.5100000000002</v>
      </c>
    </row>
    <row r="12813" spans="1:6" x14ac:dyDescent="0.25">
      <c r="A12813" t="s">
        <v>712</v>
      </c>
      <c r="B12813" t="s">
        <v>86</v>
      </c>
      <c r="C12813" s="5" t="str">
        <f>" кв. "&amp;B12813</f>
        <v xml:space="preserve"> кв. 82</v>
      </c>
      <c r="D12813" s="5" t="str">
        <f>CONCATENATE(A12813,C12813)</f>
        <v>Фестивальная ул., дом 5 кв. 82</v>
      </c>
      <c r="E12813" s="3">
        <f>HYPERLINK("https://sao.dolgi.msk.ru/account/1404133525/", 1404133525)</f>
        <v>1404133525</v>
      </c>
      <c r="F12813">
        <v>6049.5</v>
      </c>
    </row>
    <row r="12814" spans="1:6" hidden="1" x14ac:dyDescent="0.25">
      <c r="A12814" t="s">
        <v>712</v>
      </c>
      <c r="B12814" t="s">
        <v>87</v>
      </c>
      <c r="E12814" s="3">
        <f>HYPERLINK("https://sao.dolgi.msk.ru/account/1404132143/", 1404132143)</f>
        <v>1404132143</v>
      </c>
      <c r="F12814">
        <v>0</v>
      </c>
    </row>
    <row r="12815" spans="1:6" x14ac:dyDescent="0.25">
      <c r="A12815" t="s">
        <v>712</v>
      </c>
      <c r="B12815" t="s">
        <v>88</v>
      </c>
      <c r="C12815" s="5" t="str">
        <f>" кв. "&amp;B12815</f>
        <v xml:space="preserve"> кв. 84</v>
      </c>
      <c r="D12815" s="5" t="str">
        <f>CONCATENATE(A12815,C12815)</f>
        <v>Фестивальная ул., дом 5 кв. 84</v>
      </c>
      <c r="E12815" s="3">
        <f>HYPERLINK("https://sao.dolgi.msk.ru/account/1404132151/", 1404132151)</f>
        <v>1404132151</v>
      </c>
      <c r="F12815">
        <v>2667.06</v>
      </c>
    </row>
    <row r="12816" spans="1:6" hidden="1" x14ac:dyDescent="0.25">
      <c r="A12816" t="s">
        <v>712</v>
      </c>
      <c r="B12816" t="s">
        <v>89</v>
      </c>
      <c r="E12816" s="3">
        <f>HYPERLINK("https://sao.dolgi.msk.ru/account/1404133306/", 1404133306)</f>
        <v>1404133306</v>
      </c>
      <c r="F12816">
        <v>0</v>
      </c>
    </row>
    <row r="12817" spans="1:6" hidden="1" x14ac:dyDescent="0.25">
      <c r="A12817" t="s">
        <v>712</v>
      </c>
      <c r="B12817" t="s">
        <v>90</v>
      </c>
      <c r="E12817" s="3">
        <f>HYPERLINK("https://sao.dolgi.msk.ru/account/1404132629/", 1404132629)</f>
        <v>1404132629</v>
      </c>
      <c r="F12817">
        <v>-3020.9</v>
      </c>
    </row>
    <row r="12818" spans="1:6" hidden="1" x14ac:dyDescent="0.25">
      <c r="A12818" t="s">
        <v>712</v>
      </c>
      <c r="B12818" t="s">
        <v>91</v>
      </c>
      <c r="E12818" s="3">
        <f>HYPERLINK("https://sao.dolgi.msk.ru/account/1404132637/", 1404132637)</f>
        <v>1404132637</v>
      </c>
      <c r="F12818">
        <v>0</v>
      </c>
    </row>
    <row r="12819" spans="1:6" x14ac:dyDescent="0.25">
      <c r="A12819" t="s">
        <v>712</v>
      </c>
      <c r="B12819" t="s">
        <v>92</v>
      </c>
      <c r="C12819" s="5" t="str">
        <f>" кв. "&amp;B12819</f>
        <v xml:space="preserve"> кв. 88</v>
      </c>
      <c r="D12819" s="5" t="str">
        <f>CONCATENATE(A12819,C12819)</f>
        <v>Фестивальная ул., дом 5 кв. 88</v>
      </c>
      <c r="E12819" s="3">
        <f>HYPERLINK("https://sao.dolgi.msk.ru/account/1404133015/", 1404133015)</f>
        <v>1404133015</v>
      </c>
      <c r="F12819">
        <v>26306.560000000001</v>
      </c>
    </row>
    <row r="12820" spans="1:6" hidden="1" x14ac:dyDescent="0.25">
      <c r="A12820" t="s">
        <v>712</v>
      </c>
      <c r="B12820" t="s">
        <v>93</v>
      </c>
      <c r="E12820" s="3">
        <f>HYPERLINK("https://sao.dolgi.msk.ru/account/1404132178/", 1404132178)</f>
        <v>1404132178</v>
      </c>
      <c r="F12820">
        <v>-3987.61</v>
      </c>
    </row>
    <row r="12821" spans="1:6" x14ac:dyDescent="0.25">
      <c r="A12821" t="s">
        <v>712</v>
      </c>
      <c r="B12821" t="s">
        <v>94</v>
      </c>
      <c r="C12821" s="5" t="str">
        <f>" кв. "&amp;B12821</f>
        <v xml:space="preserve"> кв. 90</v>
      </c>
      <c r="D12821" s="5" t="str">
        <f>CONCATENATE(A12821,C12821)</f>
        <v>Фестивальная ул., дом 5 кв. 90</v>
      </c>
      <c r="E12821" s="3">
        <f>HYPERLINK("https://sao.dolgi.msk.ru/account/1404132186/", 1404132186)</f>
        <v>1404132186</v>
      </c>
      <c r="F12821">
        <v>8479.39</v>
      </c>
    </row>
    <row r="12822" spans="1:6" hidden="1" x14ac:dyDescent="0.25">
      <c r="A12822" t="s">
        <v>712</v>
      </c>
      <c r="B12822" t="s">
        <v>95</v>
      </c>
      <c r="E12822" s="3">
        <f>HYPERLINK("https://sao.dolgi.msk.ru/account/1404132661/", 1404132661)</f>
        <v>1404132661</v>
      </c>
      <c r="F12822">
        <v>-1197.54</v>
      </c>
    </row>
    <row r="12823" spans="1:6" hidden="1" x14ac:dyDescent="0.25">
      <c r="A12823" t="s">
        <v>712</v>
      </c>
      <c r="B12823" t="s">
        <v>95</v>
      </c>
      <c r="E12823" s="3">
        <f>HYPERLINK("https://sao.dolgi.msk.ru/account/1404133322/", 1404133322)</f>
        <v>1404133322</v>
      </c>
      <c r="F12823">
        <v>-2500.37</v>
      </c>
    </row>
    <row r="12824" spans="1:6" hidden="1" x14ac:dyDescent="0.25">
      <c r="A12824" t="s">
        <v>712</v>
      </c>
      <c r="B12824" t="s">
        <v>96</v>
      </c>
      <c r="E12824" s="3">
        <f>HYPERLINK("https://sao.dolgi.msk.ru/account/1404132645/", 1404132645)</f>
        <v>1404132645</v>
      </c>
      <c r="F12824">
        <v>-3343.41</v>
      </c>
    </row>
    <row r="12825" spans="1:6" hidden="1" x14ac:dyDescent="0.25">
      <c r="A12825" t="s">
        <v>712</v>
      </c>
      <c r="B12825" t="s">
        <v>97</v>
      </c>
      <c r="E12825" s="3">
        <f>HYPERLINK("https://sao.dolgi.msk.ru/account/1404132653/", 1404132653)</f>
        <v>1404132653</v>
      </c>
      <c r="F12825">
        <v>-7329.14</v>
      </c>
    </row>
    <row r="12826" spans="1:6" hidden="1" x14ac:dyDescent="0.25">
      <c r="A12826" t="s">
        <v>712</v>
      </c>
      <c r="B12826" t="s">
        <v>98</v>
      </c>
      <c r="E12826" s="3">
        <f>HYPERLINK("https://sao.dolgi.msk.ru/account/1404133533/", 1404133533)</f>
        <v>1404133533</v>
      </c>
      <c r="F12826">
        <v>-4546.8</v>
      </c>
    </row>
    <row r="12827" spans="1:6" hidden="1" x14ac:dyDescent="0.25">
      <c r="A12827" t="s">
        <v>712</v>
      </c>
      <c r="B12827" t="s">
        <v>99</v>
      </c>
      <c r="E12827" s="3">
        <f>HYPERLINK("https://sao.dolgi.msk.ru/account/1404133541/", 1404133541)</f>
        <v>1404133541</v>
      </c>
      <c r="F12827">
        <v>-447.08</v>
      </c>
    </row>
    <row r="12828" spans="1:6" hidden="1" x14ac:dyDescent="0.25">
      <c r="A12828" t="s">
        <v>712</v>
      </c>
      <c r="B12828" t="s">
        <v>100</v>
      </c>
      <c r="E12828" s="3">
        <f>HYPERLINK("https://sao.dolgi.msk.ru/account/1404133824/", 1404133824)</f>
        <v>1404133824</v>
      </c>
      <c r="F12828">
        <v>-4437.95</v>
      </c>
    </row>
    <row r="12829" spans="1:6" hidden="1" x14ac:dyDescent="0.25">
      <c r="A12829" t="s">
        <v>712</v>
      </c>
      <c r="B12829" t="s">
        <v>101</v>
      </c>
      <c r="E12829" s="3">
        <f>HYPERLINK("https://sao.dolgi.msk.ru/account/1404133023/", 1404133023)</f>
        <v>1404133023</v>
      </c>
      <c r="F12829">
        <v>0</v>
      </c>
    </row>
    <row r="12830" spans="1:6" hidden="1" x14ac:dyDescent="0.25">
      <c r="A12830" t="s">
        <v>712</v>
      </c>
      <c r="B12830" t="s">
        <v>102</v>
      </c>
      <c r="E12830" s="3">
        <f>HYPERLINK("https://sao.dolgi.msk.ru/account/1404133568/", 1404133568)</f>
        <v>1404133568</v>
      </c>
      <c r="F12830">
        <v>-3627.56</v>
      </c>
    </row>
    <row r="12831" spans="1:6" hidden="1" x14ac:dyDescent="0.25">
      <c r="A12831" t="s">
        <v>712</v>
      </c>
      <c r="B12831" t="s">
        <v>103</v>
      </c>
      <c r="E12831" s="3">
        <f>HYPERLINK("https://sao.dolgi.msk.ru/account/1404132194/", 1404132194)</f>
        <v>1404132194</v>
      </c>
      <c r="F12831">
        <v>-5361.54</v>
      </c>
    </row>
    <row r="12832" spans="1:6" hidden="1" x14ac:dyDescent="0.25">
      <c r="A12832" t="s">
        <v>712</v>
      </c>
      <c r="B12832" t="s">
        <v>104</v>
      </c>
      <c r="E12832" s="3">
        <f>HYPERLINK("https://sao.dolgi.msk.ru/account/1404132696/", 1404132696)</f>
        <v>1404132696</v>
      </c>
      <c r="F12832">
        <v>-362.13</v>
      </c>
    </row>
    <row r="12833" spans="1:6" hidden="1" x14ac:dyDescent="0.25">
      <c r="A12833" t="s">
        <v>712</v>
      </c>
      <c r="B12833" t="s">
        <v>105</v>
      </c>
      <c r="E12833" s="3">
        <f>HYPERLINK("https://sao.dolgi.msk.ru/account/1404132434/", 1404132434)</f>
        <v>1404132434</v>
      </c>
      <c r="F12833">
        <v>-121.3</v>
      </c>
    </row>
    <row r="12834" spans="1:6" hidden="1" x14ac:dyDescent="0.25">
      <c r="A12834" t="s">
        <v>712</v>
      </c>
      <c r="B12834" t="s">
        <v>106</v>
      </c>
      <c r="E12834" s="3">
        <f>HYPERLINK("https://sao.dolgi.msk.ru/account/1404133058/", 1404133058)</f>
        <v>1404133058</v>
      </c>
      <c r="F12834">
        <v>-2673.16</v>
      </c>
    </row>
    <row r="12835" spans="1:6" hidden="1" x14ac:dyDescent="0.25">
      <c r="A12835" t="s">
        <v>712</v>
      </c>
      <c r="B12835" t="s">
        <v>107</v>
      </c>
      <c r="E12835" s="3">
        <f>HYPERLINK("https://sao.dolgi.msk.ru/account/1404132813/", 1404132813)</f>
        <v>1404132813</v>
      </c>
      <c r="F12835">
        <v>-5888.03</v>
      </c>
    </row>
    <row r="12836" spans="1:6" hidden="1" x14ac:dyDescent="0.25">
      <c r="A12836" t="s">
        <v>712</v>
      </c>
      <c r="B12836" t="s">
        <v>108</v>
      </c>
      <c r="E12836" s="3">
        <f>HYPERLINK("https://sao.dolgi.msk.ru/account/1404132207/", 1404132207)</f>
        <v>1404132207</v>
      </c>
      <c r="F12836">
        <v>0</v>
      </c>
    </row>
    <row r="12837" spans="1:6" hidden="1" x14ac:dyDescent="0.25">
      <c r="A12837" t="s">
        <v>712</v>
      </c>
      <c r="B12837" t="s">
        <v>109</v>
      </c>
      <c r="E12837" s="3">
        <f>HYPERLINK("https://sao.dolgi.msk.ru/account/1404132047/", 1404132047)</f>
        <v>1404132047</v>
      </c>
      <c r="F12837">
        <v>0</v>
      </c>
    </row>
    <row r="12838" spans="1:6" hidden="1" x14ac:dyDescent="0.25">
      <c r="A12838" t="s">
        <v>712</v>
      </c>
      <c r="B12838" t="s">
        <v>110</v>
      </c>
      <c r="E12838" s="3">
        <f>HYPERLINK("https://sao.dolgi.msk.ru/account/1404132821/", 1404132821)</f>
        <v>1404132821</v>
      </c>
      <c r="F12838">
        <v>-4334.82</v>
      </c>
    </row>
    <row r="12839" spans="1:6" hidden="1" x14ac:dyDescent="0.25">
      <c r="A12839" t="s">
        <v>712</v>
      </c>
      <c r="B12839" t="s">
        <v>111</v>
      </c>
      <c r="E12839" s="3">
        <f>HYPERLINK("https://sao.dolgi.msk.ru/account/1404133576/", 1404133576)</f>
        <v>1404133576</v>
      </c>
      <c r="F12839">
        <v>-618.47</v>
      </c>
    </row>
    <row r="12840" spans="1:6" hidden="1" x14ac:dyDescent="0.25">
      <c r="A12840" t="s">
        <v>712</v>
      </c>
      <c r="B12840" t="s">
        <v>112</v>
      </c>
      <c r="E12840" s="3">
        <f>HYPERLINK("https://sao.dolgi.msk.ru/account/1404133584/", 1404133584)</f>
        <v>1404133584</v>
      </c>
      <c r="F12840">
        <v>-2289.21</v>
      </c>
    </row>
    <row r="12841" spans="1:6" hidden="1" x14ac:dyDescent="0.25">
      <c r="A12841" t="s">
        <v>712</v>
      </c>
      <c r="B12841" t="s">
        <v>113</v>
      </c>
      <c r="E12841" s="3">
        <f>HYPERLINK("https://sao.dolgi.msk.ru/account/1404132055/", 1404132055)</f>
        <v>1404132055</v>
      </c>
      <c r="F12841">
        <v>0</v>
      </c>
    </row>
    <row r="12842" spans="1:6" hidden="1" x14ac:dyDescent="0.25">
      <c r="A12842" t="s">
        <v>712</v>
      </c>
      <c r="B12842" t="s">
        <v>114</v>
      </c>
      <c r="E12842" s="3">
        <f>HYPERLINK("https://sao.dolgi.msk.ru/account/1404133066/", 1404133066)</f>
        <v>1404133066</v>
      </c>
      <c r="F12842">
        <v>-4654.9799999999996</v>
      </c>
    </row>
    <row r="12843" spans="1:6" hidden="1" x14ac:dyDescent="0.25">
      <c r="A12843" t="s">
        <v>712</v>
      </c>
      <c r="B12843" t="s">
        <v>115</v>
      </c>
      <c r="E12843" s="3">
        <f>HYPERLINK("https://sao.dolgi.msk.ru/account/1404132469/", 1404132469)</f>
        <v>1404132469</v>
      </c>
      <c r="F12843">
        <v>-4155.9799999999996</v>
      </c>
    </row>
    <row r="12844" spans="1:6" hidden="1" x14ac:dyDescent="0.25">
      <c r="A12844" t="s">
        <v>712</v>
      </c>
      <c r="B12844" t="s">
        <v>116</v>
      </c>
      <c r="E12844" s="3">
        <f>HYPERLINK("https://sao.dolgi.msk.ru/account/1404133592/", 1404133592)</f>
        <v>1404133592</v>
      </c>
      <c r="F12844">
        <v>-297.52</v>
      </c>
    </row>
    <row r="12845" spans="1:6" hidden="1" x14ac:dyDescent="0.25">
      <c r="A12845" t="s">
        <v>712</v>
      </c>
      <c r="B12845" t="s">
        <v>117</v>
      </c>
      <c r="E12845" s="3">
        <f>HYPERLINK("https://sao.dolgi.msk.ru/account/1404133074/", 1404133074)</f>
        <v>1404133074</v>
      </c>
      <c r="F12845">
        <v>-4562.6000000000004</v>
      </c>
    </row>
    <row r="12846" spans="1:6" hidden="1" x14ac:dyDescent="0.25">
      <c r="A12846" t="s">
        <v>712</v>
      </c>
      <c r="B12846" t="s">
        <v>118</v>
      </c>
      <c r="E12846" s="3">
        <f>HYPERLINK("https://sao.dolgi.msk.ru/account/1404132215/", 1404132215)</f>
        <v>1404132215</v>
      </c>
      <c r="F12846">
        <v>-254.12</v>
      </c>
    </row>
    <row r="12847" spans="1:6" hidden="1" x14ac:dyDescent="0.25">
      <c r="A12847" t="s">
        <v>712</v>
      </c>
      <c r="B12847" t="s">
        <v>119</v>
      </c>
      <c r="E12847" s="3">
        <f>HYPERLINK("https://sao.dolgi.msk.ru/account/1404133605/", 1404133605)</f>
        <v>1404133605</v>
      </c>
      <c r="F12847">
        <v>-3163.59</v>
      </c>
    </row>
    <row r="12848" spans="1:6" hidden="1" x14ac:dyDescent="0.25">
      <c r="A12848" t="s">
        <v>712</v>
      </c>
      <c r="B12848" t="s">
        <v>120</v>
      </c>
      <c r="E12848" s="3">
        <f>HYPERLINK("https://sao.dolgi.msk.ru/account/1404132223/", 1404132223)</f>
        <v>1404132223</v>
      </c>
      <c r="F12848">
        <v>-4490.05</v>
      </c>
    </row>
    <row r="12849" spans="1:6" hidden="1" x14ac:dyDescent="0.25">
      <c r="A12849" t="s">
        <v>712</v>
      </c>
      <c r="B12849" t="s">
        <v>121</v>
      </c>
      <c r="E12849" s="3">
        <f>HYPERLINK("https://sao.dolgi.msk.ru/account/1404132848/", 1404132848)</f>
        <v>1404132848</v>
      </c>
      <c r="F12849">
        <v>0</v>
      </c>
    </row>
    <row r="12850" spans="1:6" hidden="1" x14ac:dyDescent="0.25">
      <c r="A12850" t="s">
        <v>712</v>
      </c>
      <c r="B12850" t="s">
        <v>122</v>
      </c>
      <c r="E12850" s="3">
        <f>HYPERLINK("https://sao.dolgi.msk.ru/account/1404133613/", 1404133613)</f>
        <v>1404133613</v>
      </c>
      <c r="F12850">
        <v>-6416.56</v>
      </c>
    </row>
    <row r="12851" spans="1:6" hidden="1" x14ac:dyDescent="0.25">
      <c r="A12851" t="s">
        <v>712</v>
      </c>
      <c r="B12851" t="s">
        <v>123</v>
      </c>
      <c r="E12851" s="3">
        <f>HYPERLINK("https://sao.dolgi.msk.ru/account/1404132856/", 1404132856)</f>
        <v>1404132856</v>
      </c>
      <c r="F12851">
        <v>-4266.9399999999996</v>
      </c>
    </row>
    <row r="12852" spans="1:6" hidden="1" x14ac:dyDescent="0.25">
      <c r="A12852" t="s">
        <v>712</v>
      </c>
      <c r="B12852" t="s">
        <v>124</v>
      </c>
      <c r="E12852" s="3">
        <f>HYPERLINK("https://sao.dolgi.msk.ru/account/1404133621/", 1404133621)</f>
        <v>1404133621</v>
      </c>
      <c r="F12852">
        <v>-1485.58</v>
      </c>
    </row>
    <row r="12853" spans="1:6" hidden="1" x14ac:dyDescent="0.25">
      <c r="A12853" t="s">
        <v>712</v>
      </c>
      <c r="B12853" t="s">
        <v>125</v>
      </c>
      <c r="E12853" s="3">
        <f>HYPERLINK("https://sao.dolgi.msk.ru/account/1404132063/", 1404132063)</f>
        <v>1404132063</v>
      </c>
      <c r="F12853">
        <v>-5906.28</v>
      </c>
    </row>
    <row r="12854" spans="1:6" hidden="1" x14ac:dyDescent="0.25">
      <c r="A12854" t="s">
        <v>712</v>
      </c>
      <c r="B12854" t="s">
        <v>126</v>
      </c>
      <c r="E12854" s="3">
        <f>HYPERLINK("https://sao.dolgi.msk.ru/account/1404133648/", 1404133648)</f>
        <v>1404133648</v>
      </c>
      <c r="F12854">
        <v>-3914.6</v>
      </c>
    </row>
    <row r="12855" spans="1:6" hidden="1" x14ac:dyDescent="0.25">
      <c r="A12855" t="s">
        <v>712</v>
      </c>
      <c r="B12855" t="s">
        <v>127</v>
      </c>
      <c r="E12855" s="3">
        <f>HYPERLINK("https://sao.dolgi.msk.ru/account/1404132258/", 1404132258)</f>
        <v>1404132258</v>
      </c>
      <c r="F12855">
        <v>-58.64</v>
      </c>
    </row>
    <row r="12856" spans="1:6" x14ac:dyDescent="0.25">
      <c r="A12856" t="s">
        <v>712</v>
      </c>
      <c r="B12856" t="s">
        <v>128</v>
      </c>
      <c r="C12856" s="5" t="str">
        <f>" кв. "&amp;B12856</f>
        <v xml:space="preserve"> кв. 124</v>
      </c>
      <c r="D12856" s="5" t="str">
        <f>CONCATENATE(A12856,C12856)</f>
        <v>Фестивальная ул., дом 5 кв. 124</v>
      </c>
      <c r="E12856" s="3">
        <f>HYPERLINK("https://sao.dolgi.msk.ru/account/1404132266/", 1404132266)</f>
        <v>1404132266</v>
      </c>
      <c r="F12856">
        <v>5253.91</v>
      </c>
    </row>
    <row r="12857" spans="1:6" hidden="1" x14ac:dyDescent="0.25">
      <c r="A12857" t="s">
        <v>712</v>
      </c>
      <c r="B12857" t="s">
        <v>129</v>
      </c>
      <c r="E12857" s="3">
        <f>HYPERLINK("https://sao.dolgi.msk.ru/account/1404132477/", 1404132477)</f>
        <v>1404132477</v>
      </c>
      <c r="F12857">
        <v>-5874.46</v>
      </c>
    </row>
    <row r="12858" spans="1:6" hidden="1" x14ac:dyDescent="0.25">
      <c r="A12858" t="s">
        <v>712</v>
      </c>
      <c r="B12858" t="s">
        <v>130</v>
      </c>
      <c r="E12858" s="3">
        <f>HYPERLINK("https://sao.dolgi.msk.ru/account/1404133082/", 1404133082)</f>
        <v>1404133082</v>
      </c>
      <c r="F12858">
        <v>-2093.4</v>
      </c>
    </row>
    <row r="12859" spans="1:6" hidden="1" x14ac:dyDescent="0.25">
      <c r="A12859" t="s">
        <v>712</v>
      </c>
      <c r="B12859" t="s">
        <v>131</v>
      </c>
      <c r="E12859" s="3">
        <f>HYPERLINK("https://sao.dolgi.msk.ru/account/1404133103/", 1404133103)</f>
        <v>1404133103</v>
      </c>
      <c r="F12859">
        <v>-7024.67</v>
      </c>
    </row>
    <row r="12860" spans="1:6" hidden="1" x14ac:dyDescent="0.25">
      <c r="A12860" t="s">
        <v>712</v>
      </c>
      <c r="B12860" t="s">
        <v>132</v>
      </c>
      <c r="E12860" s="3">
        <f>HYPERLINK("https://sao.dolgi.msk.ru/account/1404133656/", 1404133656)</f>
        <v>1404133656</v>
      </c>
      <c r="F12860">
        <v>-4825.41</v>
      </c>
    </row>
    <row r="12861" spans="1:6" x14ac:dyDescent="0.25">
      <c r="A12861" t="s">
        <v>712</v>
      </c>
      <c r="B12861" t="s">
        <v>133</v>
      </c>
      <c r="C12861" s="5" t="str">
        <f>" кв. "&amp;B12861</f>
        <v xml:space="preserve"> кв. 129</v>
      </c>
      <c r="D12861" s="5" t="str">
        <f>CONCATENATE(A12861,C12861)</f>
        <v>Фестивальная ул., дом 5 кв. 129</v>
      </c>
      <c r="E12861" s="3">
        <f>HYPERLINK("https://sao.dolgi.msk.ru/account/1404132864/", 1404132864)</f>
        <v>1404132864</v>
      </c>
      <c r="F12861">
        <v>125331.2</v>
      </c>
    </row>
    <row r="12862" spans="1:6" hidden="1" x14ac:dyDescent="0.25">
      <c r="A12862" t="s">
        <v>712</v>
      </c>
      <c r="B12862" t="s">
        <v>134</v>
      </c>
      <c r="E12862" s="3">
        <f>HYPERLINK("https://sao.dolgi.msk.ru/account/1404132872/", 1404132872)</f>
        <v>1404132872</v>
      </c>
      <c r="F12862">
        <v>-7155.68</v>
      </c>
    </row>
    <row r="12863" spans="1:6" hidden="1" x14ac:dyDescent="0.25">
      <c r="A12863" t="s">
        <v>712</v>
      </c>
      <c r="B12863" t="s">
        <v>135</v>
      </c>
      <c r="E12863" s="3">
        <f>HYPERLINK("https://sao.dolgi.msk.ru/account/1404133664/", 1404133664)</f>
        <v>1404133664</v>
      </c>
      <c r="F12863">
        <v>-3836.92</v>
      </c>
    </row>
    <row r="12864" spans="1:6" hidden="1" x14ac:dyDescent="0.25">
      <c r="A12864" t="s">
        <v>712</v>
      </c>
      <c r="B12864" t="s">
        <v>136</v>
      </c>
      <c r="E12864" s="3">
        <f>HYPERLINK("https://sao.dolgi.msk.ru/account/1404132282/", 1404132282)</f>
        <v>1404132282</v>
      </c>
      <c r="F12864">
        <v>-7863.98</v>
      </c>
    </row>
    <row r="12865" spans="1:6" hidden="1" x14ac:dyDescent="0.25">
      <c r="A12865" t="s">
        <v>712</v>
      </c>
      <c r="B12865" t="s">
        <v>137</v>
      </c>
      <c r="E12865" s="3">
        <f>HYPERLINK("https://sao.dolgi.msk.ru/account/1404132303/", 1404132303)</f>
        <v>1404132303</v>
      </c>
      <c r="F12865">
        <v>-6589.64</v>
      </c>
    </row>
    <row r="12866" spans="1:6" hidden="1" x14ac:dyDescent="0.25">
      <c r="A12866" t="s">
        <v>712</v>
      </c>
      <c r="B12866" t="s">
        <v>138</v>
      </c>
      <c r="E12866" s="3">
        <f>HYPERLINK("https://sao.dolgi.msk.ru/account/1404133672/", 1404133672)</f>
        <v>1404133672</v>
      </c>
      <c r="F12866">
        <v>-3312.11</v>
      </c>
    </row>
    <row r="12867" spans="1:6" hidden="1" x14ac:dyDescent="0.25">
      <c r="A12867" t="s">
        <v>712</v>
      </c>
      <c r="B12867" t="s">
        <v>139</v>
      </c>
      <c r="E12867" s="3">
        <f>HYPERLINK("https://sao.dolgi.msk.ru/account/1404132485/", 1404132485)</f>
        <v>1404132485</v>
      </c>
      <c r="F12867">
        <v>-2586.46</v>
      </c>
    </row>
    <row r="12868" spans="1:6" hidden="1" x14ac:dyDescent="0.25">
      <c r="A12868" t="s">
        <v>712</v>
      </c>
      <c r="B12868" t="s">
        <v>140</v>
      </c>
      <c r="E12868" s="3">
        <f>HYPERLINK("https://sao.dolgi.msk.ru/account/1404133699/", 1404133699)</f>
        <v>1404133699</v>
      </c>
      <c r="F12868">
        <v>-3196.17</v>
      </c>
    </row>
    <row r="12869" spans="1:6" hidden="1" x14ac:dyDescent="0.25">
      <c r="A12869" t="s">
        <v>712</v>
      </c>
      <c r="B12869" t="s">
        <v>141</v>
      </c>
      <c r="E12869" s="3">
        <f>HYPERLINK("https://sao.dolgi.msk.ru/account/1404132899/", 1404132899)</f>
        <v>1404132899</v>
      </c>
      <c r="F12869">
        <v>-16431.07</v>
      </c>
    </row>
    <row r="12870" spans="1:6" hidden="1" x14ac:dyDescent="0.25">
      <c r="A12870" t="s">
        <v>712</v>
      </c>
      <c r="B12870" t="s">
        <v>142</v>
      </c>
      <c r="E12870" s="3">
        <f>HYPERLINK("https://sao.dolgi.msk.ru/account/1404133357/", 1404133357)</f>
        <v>1404133357</v>
      </c>
      <c r="F12870">
        <v>-2976.94</v>
      </c>
    </row>
    <row r="12871" spans="1:6" hidden="1" x14ac:dyDescent="0.25">
      <c r="A12871" t="s">
        <v>712</v>
      </c>
      <c r="B12871" t="s">
        <v>143</v>
      </c>
      <c r="E12871" s="3">
        <f>HYPERLINK("https://sao.dolgi.msk.ru/account/1404132901/", 1404132901)</f>
        <v>1404132901</v>
      </c>
      <c r="F12871">
        <v>-3532.49</v>
      </c>
    </row>
    <row r="12872" spans="1:6" hidden="1" x14ac:dyDescent="0.25">
      <c r="A12872" t="s">
        <v>712</v>
      </c>
      <c r="B12872" t="s">
        <v>144</v>
      </c>
      <c r="E12872" s="3">
        <f>HYPERLINK("https://sao.dolgi.msk.ru/account/1404132493/", 1404132493)</f>
        <v>1404132493</v>
      </c>
      <c r="F12872">
        <v>0</v>
      </c>
    </row>
    <row r="12873" spans="1:6" x14ac:dyDescent="0.25">
      <c r="A12873" t="s">
        <v>712</v>
      </c>
      <c r="B12873" t="s">
        <v>145</v>
      </c>
      <c r="C12873" s="5" t="str">
        <f>" кв. "&amp;B12873</f>
        <v xml:space="preserve"> кв. 141</v>
      </c>
      <c r="D12873" s="5" t="str">
        <f>CONCATENATE(A12873,C12873)</f>
        <v>Фестивальная ул., дом 5 кв. 141</v>
      </c>
      <c r="E12873" s="3">
        <f>HYPERLINK("https://sao.dolgi.msk.ru/account/1404133365/", 1404133365)</f>
        <v>1404133365</v>
      </c>
      <c r="F12873">
        <v>2760.62</v>
      </c>
    </row>
    <row r="12874" spans="1:6" hidden="1" x14ac:dyDescent="0.25">
      <c r="A12874" t="s">
        <v>712</v>
      </c>
      <c r="B12874" t="s">
        <v>146</v>
      </c>
      <c r="E12874" s="3">
        <f>HYPERLINK("https://sao.dolgi.msk.ru/account/1404133701/", 1404133701)</f>
        <v>1404133701</v>
      </c>
      <c r="F12874">
        <v>-715.61</v>
      </c>
    </row>
    <row r="12875" spans="1:6" hidden="1" x14ac:dyDescent="0.25">
      <c r="A12875" t="s">
        <v>712</v>
      </c>
      <c r="B12875" t="s">
        <v>147</v>
      </c>
      <c r="E12875" s="3">
        <f>HYPERLINK("https://sao.dolgi.msk.ru/account/1404132717/", 1404132717)</f>
        <v>1404132717</v>
      </c>
      <c r="F12875">
        <v>-11416.59</v>
      </c>
    </row>
    <row r="12876" spans="1:6" hidden="1" x14ac:dyDescent="0.25">
      <c r="A12876" t="s">
        <v>712</v>
      </c>
      <c r="B12876" t="s">
        <v>148</v>
      </c>
      <c r="E12876" s="3">
        <f>HYPERLINK("https://sao.dolgi.msk.ru/account/1404132928/", 1404132928)</f>
        <v>1404132928</v>
      </c>
      <c r="F12876">
        <v>-1283.0899999999999</v>
      </c>
    </row>
    <row r="12877" spans="1:6" x14ac:dyDescent="0.25">
      <c r="A12877" t="s">
        <v>713</v>
      </c>
      <c r="B12877" t="s">
        <v>5</v>
      </c>
      <c r="C12877" s="5" t="str">
        <f>" кв. "&amp;B12877</f>
        <v xml:space="preserve"> кв. 1</v>
      </c>
      <c r="D12877" s="5" t="str">
        <f>CONCATENATE(A12877,C12877)</f>
        <v>Фестивальная ул., дом 9 кв. 1</v>
      </c>
      <c r="E12877" s="3">
        <f>HYPERLINK("https://sao.dolgi.msk.ru/account/1404210316/", 1404210316)</f>
        <v>1404210316</v>
      </c>
      <c r="F12877">
        <v>2472.4499999999998</v>
      </c>
    </row>
    <row r="12878" spans="1:6" hidden="1" x14ac:dyDescent="0.25">
      <c r="A12878" t="s">
        <v>713</v>
      </c>
      <c r="B12878" t="s">
        <v>6</v>
      </c>
      <c r="E12878" s="3">
        <f>HYPERLINK("https://sao.dolgi.msk.ru/account/1404210797/", 1404210797)</f>
        <v>1404210797</v>
      </c>
      <c r="F12878">
        <v>0</v>
      </c>
    </row>
    <row r="12879" spans="1:6" x14ac:dyDescent="0.25">
      <c r="A12879" t="s">
        <v>713</v>
      </c>
      <c r="B12879" t="s">
        <v>7</v>
      </c>
      <c r="C12879" s="5" t="str">
        <f t="shared" ref="C12879:C12880" si="520">" кв. "&amp;B12879</f>
        <v xml:space="preserve"> кв. 3</v>
      </c>
      <c r="D12879" s="5" t="str">
        <f>CONCATENATE(A12879,C12879)</f>
        <v>Фестивальная ул., дом 9 кв. 3</v>
      </c>
      <c r="E12879" s="3">
        <f>HYPERLINK("https://sao.dolgi.msk.ru/account/1404211036/", 1404211036)</f>
        <v>1404211036</v>
      </c>
      <c r="F12879">
        <v>1192.5</v>
      </c>
    </row>
    <row r="12880" spans="1:6" x14ac:dyDescent="0.25">
      <c r="A12880" t="s">
        <v>713</v>
      </c>
      <c r="B12880" t="s">
        <v>8</v>
      </c>
      <c r="C12880" s="5" t="str">
        <f t="shared" si="520"/>
        <v xml:space="preserve"> кв. 4</v>
      </c>
      <c r="D12880" s="5" t="str">
        <f>CONCATENATE(A12880,C12880)</f>
        <v>Фестивальная ул., дом 9 кв. 4</v>
      </c>
      <c r="E12880" s="3">
        <f>HYPERLINK("https://sao.dolgi.msk.ru/account/1404211132/", 1404211132)</f>
        <v>1404211132</v>
      </c>
      <c r="F12880">
        <v>2976.38</v>
      </c>
    </row>
    <row r="12881" spans="1:6" hidden="1" x14ac:dyDescent="0.25">
      <c r="A12881" t="s">
        <v>713</v>
      </c>
      <c r="B12881" t="s">
        <v>9</v>
      </c>
      <c r="E12881" s="3">
        <f>HYPERLINK("https://sao.dolgi.msk.ru/account/1404211159/", 1404211159)</f>
        <v>1404211159</v>
      </c>
      <c r="F12881">
        <v>0</v>
      </c>
    </row>
    <row r="12882" spans="1:6" hidden="1" x14ac:dyDescent="0.25">
      <c r="A12882" t="s">
        <v>713</v>
      </c>
      <c r="B12882" t="s">
        <v>10</v>
      </c>
      <c r="E12882" s="3">
        <f>HYPERLINK("https://sao.dolgi.msk.ru/account/1404210842/", 1404210842)</f>
        <v>1404210842</v>
      </c>
      <c r="F12882">
        <v>0</v>
      </c>
    </row>
    <row r="12883" spans="1:6" x14ac:dyDescent="0.25">
      <c r="A12883" t="s">
        <v>713</v>
      </c>
      <c r="B12883" t="s">
        <v>11</v>
      </c>
      <c r="C12883" s="5" t="str">
        <f t="shared" ref="C12883:C12884" si="521">" кв. "&amp;B12883</f>
        <v xml:space="preserve"> кв. 7</v>
      </c>
      <c r="D12883" s="5" t="str">
        <f>CONCATENATE(A12883,C12883)</f>
        <v>Фестивальная ул., дом 9 кв. 7</v>
      </c>
      <c r="E12883" s="3">
        <f>HYPERLINK("https://sao.dolgi.msk.ru/account/1404210463/", 1404210463)</f>
        <v>1404210463</v>
      </c>
      <c r="F12883">
        <v>1478.7</v>
      </c>
    </row>
    <row r="12884" spans="1:6" x14ac:dyDescent="0.25">
      <c r="A12884" t="s">
        <v>713</v>
      </c>
      <c r="B12884" t="s">
        <v>11</v>
      </c>
      <c r="C12884" s="5" t="str">
        <f t="shared" si="521"/>
        <v xml:space="preserve"> кв. 7</v>
      </c>
      <c r="D12884" s="5" t="str">
        <f>CONCATENATE(A12884,C12884)</f>
        <v>Фестивальная ул., дом 9 кв. 7</v>
      </c>
      <c r="E12884" s="3">
        <f>HYPERLINK("https://sao.dolgi.msk.ru/account/1404210674/", 1404210674)</f>
        <v>1404210674</v>
      </c>
      <c r="F12884">
        <v>1478.7</v>
      </c>
    </row>
    <row r="12885" spans="1:6" hidden="1" x14ac:dyDescent="0.25">
      <c r="A12885" t="s">
        <v>713</v>
      </c>
      <c r="B12885" t="s">
        <v>12</v>
      </c>
      <c r="E12885" s="3">
        <f>HYPERLINK("https://sao.dolgi.msk.ru/account/1404211343/", 1404211343)</f>
        <v>1404211343</v>
      </c>
      <c r="F12885">
        <v>0</v>
      </c>
    </row>
    <row r="12886" spans="1:6" hidden="1" x14ac:dyDescent="0.25">
      <c r="A12886" t="s">
        <v>713</v>
      </c>
      <c r="B12886" t="s">
        <v>13</v>
      </c>
      <c r="E12886" s="3">
        <f>HYPERLINK("https://sao.dolgi.msk.ru/account/1404211087/", 1404211087)</f>
        <v>1404211087</v>
      </c>
      <c r="F12886">
        <v>-2833.32</v>
      </c>
    </row>
    <row r="12887" spans="1:6" x14ac:dyDescent="0.25">
      <c r="A12887" t="s">
        <v>713</v>
      </c>
      <c r="B12887" t="s">
        <v>14</v>
      </c>
      <c r="C12887" s="5" t="str">
        <f>" кв. "&amp;B12887</f>
        <v xml:space="preserve"> кв. 10</v>
      </c>
      <c r="D12887" s="5" t="str">
        <f>CONCATENATE(A12887,C12887)</f>
        <v>Фестивальная ул., дом 9 кв. 10</v>
      </c>
      <c r="E12887" s="3">
        <f>HYPERLINK("https://sao.dolgi.msk.ru/account/1404210973/", 1404210973)</f>
        <v>1404210973</v>
      </c>
      <c r="F12887">
        <v>2944.75</v>
      </c>
    </row>
    <row r="12888" spans="1:6" hidden="1" x14ac:dyDescent="0.25">
      <c r="A12888" t="s">
        <v>713</v>
      </c>
      <c r="B12888" t="s">
        <v>15</v>
      </c>
      <c r="E12888" s="3">
        <f>HYPERLINK("https://sao.dolgi.msk.ru/account/1404210922/", 1404210922)</f>
        <v>1404210922</v>
      </c>
      <c r="F12888">
        <v>0</v>
      </c>
    </row>
    <row r="12889" spans="1:6" hidden="1" x14ac:dyDescent="0.25">
      <c r="A12889" t="s">
        <v>713</v>
      </c>
      <c r="B12889" t="s">
        <v>16</v>
      </c>
      <c r="E12889" s="3">
        <f>HYPERLINK("https://sao.dolgi.msk.ru/account/1404210447/", 1404210447)</f>
        <v>1404210447</v>
      </c>
      <c r="F12889">
        <v>-3357.65</v>
      </c>
    </row>
    <row r="12890" spans="1:6" hidden="1" x14ac:dyDescent="0.25">
      <c r="A12890" t="s">
        <v>713</v>
      </c>
      <c r="B12890" t="s">
        <v>17</v>
      </c>
      <c r="E12890" s="3">
        <f>HYPERLINK("https://sao.dolgi.msk.ru/account/1404210682/", 1404210682)</f>
        <v>1404210682</v>
      </c>
      <c r="F12890">
        <v>0</v>
      </c>
    </row>
    <row r="12891" spans="1:6" x14ac:dyDescent="0.25">
      <c r="A12891" t="s">
        <v>713</v>
      </c>
      <c r="B12891" t="s">
        <v>18</v>
      </c>
      <c r="C12891" s="5" t="str">
        <f>" кв. "&amp;B12891</f>
        <v xml:space="preserve"> кв. 14</v>
      </c>
      <c r="D12891" s="5" t="str">
        <f>CONCATENATE(A12891,C12891)</f>
        <v>Фестивальная ул., дом 9 кв. 14</v>
      </c>
      <c r="E12891" s="3">
        <f>HYPERLINK("https://sao.dolgi.msk.ru/account/1404210703/", 1404210703)</f>
        <v>1404210703</v>
      </c>
      <c r="F12891">
        <v>1379.07</v>
      </c>
    </row>
    <row r="12892" spans="1:6" hidden="1" x14ac:dyDescent="0.25">
      <c r="A12892" t="s">
        <v>713</v>
      </c>
      <c r="B12892" t="s">
        <v>19</v>
      </c>
      <c r="E12892" s="3">
        <f>HYPERLINK("https://sao.dolgi.msk.ru/account/1404211327/", 1404211327)</f>
        <v>1404211327</v>
      </c>
      <c r="F12892">
        <v>0</v>
      </c>
    </row>
    <row r="12893" spans="1:6" hidden="1" x14ac:dyDescent="0.25">
      <c r="A12893" t="s">
        <v>713</v>
      </c>
      <c r="B12893" t="s">
        <v>20</v>
      </c>
      <c r="E12893" s="3">
        <f>HYPERLINK("https://sao.dolgi.msk.ru/account/1404210711/", 1404210711)</f>
        <v>1404210711</v>
      </c>
      <c r="F12893">
        <v>-4335.49</v>
      </c>
    </row>
    <row r="12894" spans="1:6" hidden="1" x14ac:dyDescent="0.25">
      <c r="A12894" t="s">
        <v>713</v>
      </c>
      <c r="B12894" t="s">
        <v>21</v>
      </c>
      <c r="E12894" s="3">
        <f>HYPERLINK("https://sao.dolgi.msk.ru/account/1404210308/", 1404210308)</f>
        <v>1404210308</v>
      </c>
      <c r="F12894">
        <v>-2976.61</v>
      </c>
    </row>
    <row r="12895" spans="1:6" hidden="1" x14ac:dyDescent="0.25">
      <c r="A12895" t="s">
        <v>713</v>
      </c>
      <c r="B12895" t="s">
        <v>22</v>
      </c>
      <c r="E12895" s="3">
        <f>HYPERLINK("https://sao.dolgi.msk.ru/account/1404210738/", 1404210738)</f>
        <v>1404210738</v>
      </c>
      <c r="F12895">
        <v>-2405.5700000000002</v>
      </c>
    </row>
    <row r="12896" spans="1:6" hidden="1" x14ac:dyDescent="0.25">
      <c r="A12896" t="s">
        <v>713</v>
      </c>
      <c r="B12896" t="s">
        <v>23</v>
      </c>
      <c r="E12896" s="3">
        <f>HYPERLINK("https://sao.dolgi.msk.ru/account/1404210949/", 1404210949)</f>
        <v>1404210949</v>
      </c>
      <c r="F12896">
        <v>-4330.87</v>
      </c>
    </row>
    <row r="12897" spans="1:6" hidden="1" x14ac:dyDescent="0.25">
      <c r="A12897" t="s">
        <v>713</v>
      </c>
      <c r="B12897" t="s">
        <v>24</v>
      </c>
      <c r="E12897" s="3">
        <f>HYPERLINK("https://sao.dolgi.msk.ru/account/1404211298/", 1404211298)</f>
        <v>1404211298</v>
      </c>
      <c r="F12897">
        <v>-2985.86</v>
      </c>
    </row>
    <row r="12898" spans="1:6" hidden="1" x14ac:dyDescent="0.25">
      <c r="A12898" t="s">
        <v>713</v>
      </c>
      <c r="B12898" t="s">
        <v>25</v>
      </c>
      <c r="E12898" s="3">
        <f>HYPERLINK("https://sao.dolgi.msk.ru/account/1404210594/", 1404210594)</f>
        <v>1404210594</v>
      </c>
      <c r="F12898">
        <v>-8154.95</v>
      </c>
    </row>
    <row r="12899" spans="1:6" hidden="1" x14ac:dyDescent="0.25">
      <c r="A12899" t="s">
        <v>713</v>
      </c>
      <c r="B12899" t="s">
        <v>26</v>
      </c>
      <c r="E12899" s="3">
        <f>HYPERLINK("https://sao.dolgi.msk.ru/account/1404211001/", 1404211001)</f>
        <v>1404211001</v>
      </c>
      <c r="F12899">
        <v>-4335.49</v>
      </c>
    </row>
    <row r="12900" spans="1:6" hidden="1" x14ac:dyDescent="0.25">
      <c r="A12900" t="s">
        <v>713</v>
      </c>
      <c r="B12900" t="s">
        <v>27</v>
      </c>
      <c r="E12900" s="3">
        <f>HYPERLINK("https://sao.dolgi.msk.ru/account/1404210607/", 1404210607)</f>
        <v>1404210607</v>
      </c>
      <c r="F12900">
        <v>0</v>
      </c>
    </row>
    <row r="12901" spans="1:6" hidden="1" x14ac:dyDescent="0.25">
      <c r="A12901" t="s">
        <v>713</v>
      </c>
      <c r="B12901" t="s">
        <v>28</v>
      </c>
      <c r="E12901" s="3">
        <f>HYPERLINK("https://sao.dolgi.msk.ru/account/1404210324/", 1404210324)</f>
        <v>1404210324</v>
      </c>
      <c r="F12901">
        <v>-2861.06</v>
      </c>
    </row>
    <row r="12902" spans="1:6" hidden="1" x14ac:dyDescent="0.25">
      <c r="A12902" t="s">
        <v>713</v>
      </c>
      <c r="B12902" t="s">
        <v>29</v>
      </c>
      <c r="E12902" s="3">
        <f>HYPERLINK("https://sao.dolgi.msk.ru/account/1404210615/", 1404210615)</f>
        <v>1404210615</v>
      </c>
      <c r="F12902">
        <v>-2075.02</v>
      </c>
    </row>
    <row r="12903" spans="1:6" hidden="1" x14ac:dyDescent="0.25">
      <c r="A12903" t="s">
        <v>713</v>
      </c>
      <c r="B12903" t="s">
        <v>30</v>
      </c>
      <c r="E12903" s="3">
        <f>HYPERLINK("https://sao.dolgi.msk.ru/account/1404211351/", 1404211351)</f>
        <v>1404211351</v>
      </c>
      <c r="F12903">
        <v>-1192.6600000000001</v>
      </c>
    </row>
    <row r="12904" spans="1:6" x14ac:dyDescent="0.25">
      <c r="A12904" t="s">
        <v>713</v>
      </c>
      <c r="B12904" t="s">
        <v>31</v>
      </c>
      <c r="C12904" s="5" t="str">
        <f>" кв. "&amp;B12904</f>
        <v xml:space="preserve"> кв. 27</v>
      </c>
      <c r="D12904" s="5" t="str">
        <f>CONCATENATE(A12904,C12904)</f>
        <v>Фестивальная ул., дом 9 кв. 27</v>
      </c>
      <c r="E12904" s="3">
        <f>HYPERLINK("https://sao.dolgi.msk.ru/account/1404210818/", 1404210818)</f>
        <v>1404210818</v>
      </c>
      <c r="F12904">
        <v>1619.15</v>
      </c>
    </row>
    <row r="12905" spans="1:6" hidden="1" x14ac:dyDescent="0.25">
      <c r="A12905" t="s">
        <v>713</v>
      </c>
      <c r="B12905" t="s">
        <v>32</v>
      </c>
      <c r="E12905" s="3">
        <f>HYPERLINK("https://sao.dolgi.msk.ru/account/1404211415/", 1404211415)</f>
        <v>1404211415</v>
      </c>
      <c r="F12905">
        <v>-2810.22</v>
      </c>
    </row>
    <row r="12906" spans="1:6" x14ac:dyDescent="0.25">
      <c r="A12906" t="s">
        <v>713</v>
      </c>
      <c r="B12906" t="s">
        <v>33</v>
      </c>
      <c r="C12906" s="5" t="str">
        <f>" кв. "&amp;B12906</f>
        <v xml:space="preserve"> кв. 29</v>
      </c>
      <c r="D12906" s="5" t="str">
        <f>CONCATENATE(A12906,C12906)</f>
        <v>Фестивальная ул., дом 9 кв. 29</v>
      </c>
      <c r="E12906" s="3">
        <f>HYPERLINK("https://sao.dolgi.msk.ru/account/1404211028/", 1404211028)</f>
        <v>1404211028</v>
      </c>
      <c r="F12906">
        <v>1227.24</v>
      </c>
    </row>
    <row r="12907" spans="1:6" hidden="1" x14ac:dyDescent="0.25">
      <c r="A12907" t="s">
        <v>713</v>
      </c>
      <c r="B12907" t="s">
        <v>34</v>
      </c>
      <c r="E12907" s="3">
        <f>HYPERLINK("https://sao.dolgi.msk.ru/account/1404211044/", 1404211044)</f>
        <v>1404211044</v>
      </c>
      <c r="F12907">
        <v>0</v>
      </c>
    </row>
    <row r="12908" spans="1:6" hidden="1" x14ac:dyDescent="0.25">
      <c r="A12908" t="s">
        <v>713</v>
      </c>
      <c r="B12908" t="s">
        <v>35</v>
      </c>
      <c r="E12908" s="3">
        <f>HYPERLINK("https://sao.dolgi.msk.ru/account/1404211052/", 1404211052)</f>
        <v>1404211052</v>
      </c>
      <c r="F12908">
        <v>0</v>
      </c>
    </row>
    <row r="12909" spans="1:6" hidden="1" x14ac:dyDescent="0.25">
      <c r="A12909" t="s">
        <v>713</v>
      </c>
      <c r="B12909" t="s">
        <v>36</v>
      </c>
      <c r="E12909" s="3">
        <f>HYPERLINK("https://sao.dolgi.msk.ru/account/1404210826/", 1404210826)</f>
        <v>1404210826</v>
      </c>
      <c r="F12909">
        <v>-957.25</v>
      </c>
    </row>
    <row r="12910" spans="1:6" hidden="1" x14ac:dyDescent="0.25">
      <c r="A12910" t="s">
        <v>713</v>
      </c>
      <c r="B12910" t="s">
        <v>37</v>
      </c>
      <c r="E12910" s="3">
        <f>HYPERLINK("https://sao.dolgi.msk.ru/account/1404210383/", 1404210383)</f>
        <v>1404210383</v>
      </c>
      <c r="F12910">
        <v>-2362.7800000000002</v>
      </c>
    </row>
    <row r="12911" spans="1:6" hidden="1" x14ac:dyDescent="0.25">
      <c r="A12911" t="s">
        <v>713</v>
      </c>
      <c r="B12911" t="s">
        <v>38</v>
      </c>
      <c r="E12911" s="3">
        <f>HYPERLINK("https://sao.dolgi.msk.ru/account/1404211431/", 1404211431)</f>
        <v>1404211431</v>
      </c>
      <c r="F12911">
        <v>-2378.35</v>
      </c>
    </row>
    <row r="12912" spans="1:6" hidden="1" x14ac:dyDescent="0.25">
      <c r="A12912" t="s">
        <v>713</v>
      </c>
      <c r="B12912" t="s">
        <v>39</v>
      </c>
      <c r="E12912" s="3">
        <f>HYPERLINK("https://sao.dolgi.msk.ru/account/1404211247/", 1404211247)</f>
        <v>1404211247</v>
      </c>
      <c r="F12912">
        <v>-1954.14</v>
      </c>
    </row>
    <row r="12913" spans="1:6" hidden="1" x14ac:dyDescent="0.25">
      <c r="A12913" t="s">
        <v>713</v>
      </c>
      <c r="B12913" t="s">
        <v>40</v>
      </c>
      <c r="E12913" s="3">
        <f>HYPERLINK("https://sao.dolgi.msk.ru/account/1404210527/", 1404210527)</f>
        <v>1404210527</v>
      </c>
      <c r="F12913">
        <v>-2828.7</v>
      </c>
    </row>
    <row r="12914" spans="1:6" hidden="1" x14ac:dyDescent="0.25">
      <c r="A12914" t="s">
        <v>713</v>
      </c>
      <c r="B12914" t="s">
        <v>41</v>
      </c>
      <c r="E12914" s="3">
        <f>HYPERLINK("https://sao.dolgi.msk.ru/account/1404210391/", 1404210391)</f>
        <v>1404210391</v>
      </c>
      <c r="F12914">
        <v>-2142.33</v>
      </c>
    </row>
    <row r="12915" spans="1:6" hidden="1" x14ac:dyDescent="0.25">
      <c r="A12915" t="s">
        <v>713</v>
      </c>
      <c r="B12915" t="s">
        <v>42</v>
      </c>
      <c r="E12915" s="3">
        <f>HYPERLINK("https://sao.dolgi.msk.ru/account/1404211458/", 1404211458)</f>
        <v>1404211458</v>
      </c>
      <c r="F12915">
        <v>-1844.2</v>
      </c>
    </row>
    <row r="12916" spans="1:6" hidden="1" x14ac:dyDescent="0.25">
      <c r="A12916" t="s">
        <v>713</v>
      </c>
      <c r="B12916" t="s">
        <v>43</v>
      </c>
      <c r="E12916" s="3">
        <f>HYPERLINK("https://sao.dolgi.msk.ru/account/1404211255/", 1404211255)</f>
        <v>1404211255</v>
      </c>
      <c r="F12916">
        <v>-2828.7</v>
      </c>
    </row>
    <row r="12917" spans="1:6" hidden="1" x14ac:dyDescent="0.25">
      <c r="A12917" t="s">
        <v>713</v>
      </c>
      <c r="B12917" t="s">
        <v>44</v>
      </c>
      <c r="E12917" s="3">
        <f>HYPERLINK("https://sao.dolgi.msk.ru/account/1404210877/", 1404210877)</f>
        <v>1404210877</v>
      </c>
      <c r="F12917">
        <v>0</v>
      </c>
    </row>
    <row r="12918" spans="1:6" hidden="1" x14ac:dyDescent="0.25">
      <c r="A12918" t="s">
        <v>713</v>
      </c>
      <c r="B12918" t="s">
        <v>45</v>
      </c>
      <c r="E12918" s="3">
        <f>HYPERLINK("https://sao.dolgi.msk.ru/account/1404210404/", 1404210404)</f>
        <v>1404210404</v>
      </c>
      <c r="F12918">
        <v>-1867.31</v>
      </c>
    </row>
    <row r="12919" spans="1:6" hidden="1" x14ac:dyDescent="0.25">
      <c r="A12919" t="s">
        <v>713</v>
      </c>
      <c r="B12919" t="s">
        <v>46</v>
      </c>
      <c r="E12919" s="3">
        <f>HYPERLINK("https://sao.dolgi.msk.ru/account/1404211263/", 1404211263)</f>
        <v>1404211263</v>
      </c>
      <c r="F12919">
        <v>-2847.19</v>
      </c>
    </row>
    <row r="12920" spans="1:6" hidden="1" x14ac:dyDescent="0.25">
      <c r="A12920" t="s">
        <v>713</v>
      </c>
      <c r="B12920" t="s">
        <v>47</v>
      </c>
      <c r="E12920" s="3">
        <f>HYPERLINK("https://sao.dolgi.msk.ru/account/1404210666/", 1404210666)</f>
        <v>1404210666</v>
      </c>
      <c r="F12920">
        <v>0</v>
      </c>
    </row>
    <row r="12921" spans="1:6" hidden="1" x14ac:dyDescent="0.25">
      <c r="A12921" t="s">
        <v>713</v>
      </c>
      <c r="B12921" t="s">
        <v>48</v>
      </c>
      <c r="E12921" s="3">
        <f>HYPERLINK("https://sao.dolgi.msk.ru/account/1404210885/", 1404210885)</f>
        <v>1404210885</v>
      </c>
      <c r="F12921">
        <v>0</v>
      </c>
    </row>
    <row r="12922" spans="1:6" hidden="1" x14ac:dyDescent="0.25">
      <c r="A12922" t="s">
        <v>713</v>
      </c>
      <c r="B12922" t="s">
        <v>49</v>
      </c>
      <c r="E12922" s="3">
        <f>HYPERLINK("https://sao.dolgi.msk.ru/account/1404210412/", 1404210412)</f>
        <v>1404210412</v>
      </c>
      <c r="F12922">
        <v>-2606.4499999999998</v>
      </c>
    </row>
    <row r="12923" spans="1:6" hidden="1" x14ac:dyDescent="0.25">
      <c r="A12923" t="s">
        <v>713</v>
      </c>
      <c r="B12923" t="s">
        <v>50</v>
      </c>
      <c r="E12923" s="3">
        <f>HYPERLINK("https://sao.dolgi.msk.ru/account/1404211394/", 1404211394)</f>
        <v>1404211394</v>
      </c>
      <c r="F12923">
        <v>-2131.92</v>
      </c>
    </row>
    <row r="12924" spans="1:6" hidden="1" x14ac:dyDescent="0.25">
      <c r="A12924" t="s">
        <v>713</v>
      </c>
      <c r="B12924" t="s">
        <v>51</v>
      </c>
      <c r="E12924" s="3">
        <f>HYPERLINK("https://sao.dolgi.msk.ru/account/1404211466/", 1404211466)</f>
        <v>1404211466</v>
      </c>
      <c r="F12924">
        <v>-1839.57</v>
      </c>
    </row>
    <row r="12925" spans="1:6" hidden="1" x14ac:dyDescent="0.25">
      <c r="A12925" t="s">
        <v>713</v>
      </c>
      <c r="B12925" t="s">
        <v>52</v>
      </c>
      <c r="E12925" s="3">
        <f>HYPERLINK("https://sao.dolgi.msk.ru/account/1404210893/", 1404210893)</f>
        <v>1404210893</v>
      </c>
      <c r="F12925">
        <v>-2421.15</v>
      </c>
    </row>
    <row r="12926" spans="1:6" hidden="1" x14ac:dyDescent="0.25">
      <c r="A12926" t="s">
        <v>713</v>
      </c>
      <c r="B12926" t="s">
        <v>53</v>
      </c>
      <c r="E12926" s="3">
        <f>HYPERLINK("https://sao.dolgi.msk.ru/account/1404210906/", 1404210906)</f>
        <v>1404210906</v>
      </c>
      <c r="F12926">
        <v>0</v>
      </c>
    </row>
    <row r="12927" spans="1:6" hidden="1" x14ac:dyDescent="0.25">
      <c r="A12927" t="s">
        <v>713</v>
      </c>
      <c r="B12927" t="s">
        <v>54</v>
      </c>
      <c r="E12927" s="3">
        <f>HYPERLINK("https://sao.dolgi.msk.ru/account/1404210439/", 1404210439)</f>
        <v>1404210439</v>
      </c>
      <c r="F12927">
        <v>-1598.43</v>
      </c>
    </row>
    <row r="12928" spans="1:6" hidden="1" x14ac:dyDescent="0.25">
      <c r="A12928" t="s">
        <v>713</v>
      </c>
      <c r="B12928" t="s">
        <v>55</v>
      </c>
      <c r="E12928" s="3">
        <f>HYPERLINK("https://sao.dolgi.msk.ru/account/1404210914/", 1404210914)</f>
        <v>1404210914</v>
      </c>
      <c r="F12928">
        <v>-2514.7399999999998</v>
      </c>
    </row>
    <row r="12929" spans="1:6" hidden="1" x14ac:dyDescent="0.25">
      <c r="A12929" t="s">
        <v>713</v>
      </c>
      <c r="B12929" t="s">
        <v>56</v>
      </c>
      <c r="E12929" s="3">
        <f>HYPERLINK("https://sao.dolgi.msk.ru/account/1404211271/", 1404211271)</f>
        <v>1404211271</v>
      </c>
      <c r="F12929">
        <v>0</v>
      </c>
    </row>
    <row r="12930" spans="1:6" hidden="1" x14ac:dyDescent="0.25">
      <c r="A12930" t="s">
        <v>713</v>
      </c>
      <c r="B12930" t="s">
        <v>57</v>
      </c>
      <c r="E12930" s="3">
        <f>HYPERLINK("https://sao.dolgi.msk.ru/account/1404211474/", 1404211474)</f>
        <v>1404211474</v>
      </c>
      <c r="F12930">
        <v>-1821.1</v>
      </c>
    </row>
    <row r="12931" spans="1:6" hidden="1" x14ac:dyDescent="0.25">
      <c r="A12931" t="s">
        <v>713</v>
      </c>
      <c r="B12931" t="s">
        <v>58</v>
      </c>
      <c r="E12931" s="3">
        <f>HYPERLINK("https://sao.dolgi.msk.ru/account/1404211319/", 1404211319)</f>
        <v>1404211319</v>
      </c>
      <c r="F12931">
        <v>-885.66</v>
      </c>
    </row>
    <row r="12932" spans="1:6" hidden="1" x14ac:dyDescent="0.25">
      <c r="A12932" t="s">
        <v>713</v>
      </c>
      <c r="B12932" t="s">
        <v>59</v>
      </c>
      <c r="E12932" s="3">
        <f>HYPERLINK("https://sao.dolgi.msk.ru/account/1404211212/", 1404211212)</f>
        <v>1404211212</v>
      </c>
      <c r="F12932">
        <v>-2814.85</v>
      </c>
    </row>
    <row r="12933" spans="1:6" hidden="1" x14ac:dyDescent="0.25">
      <c r="A12933" t="s">
        <v>713</v>
      </c>
      <c r="B12933" t="s">
        <v>60</v>
      </c>
      <c r="E12933" s="3">
        <f>HYPERLINK("https://sao.dolgi.msk.ru/account/1404211239/", 1404211239)</f>
        <v>1404211239</v>
      </c>
      <c r="F12933">
        <v>-1058.46</v>
      </c>
    </row>
    <row r="12934" spans="1:6" x14ac:dyDescent="0.25">
      <c r="A12934" t="s">
        <v>713</v>
      </c>
      <c r="B12934" t="s">
        <v>61</v>
      </c>
      <c r="C12934" s="5" t="str">
        <f>" кв. "&amp;B12934</f>
        <v xml:space="preserve"> кв. 57</v>
      </c>
      <c r="D12934" s="5" t="str">
        <f>CONCATENATE(A12934,C12934)</f>
        <v>Фестивальная ул., дом 9 кв. 57</v>
      </c>
      <c r="E12934" s="3">
        <f>HYPERLINK("https://sao.dolgi.msk.ru/account/1404210834/", 1404210834)</f>
        <v>1404210834</v>
      </c>
      <c r="F12934">
        <v>1413.86</v>
      </c>
    </row>
    <row r="12935" spans="1:6" hidden="1" x14ac:dyDescent="0.25">
      <c r="A12935" t="s">
        <v>713</v>
      </c>
      <c r="B12935" t="s">
        <v>62</v>
      </c>
      <c r="E12935" s="3">
        <f>HYPERLINK("https://sao.dolgi.msk.ru/account/1404211108/", 1404211108)</f>
        <v>1404211108</v>
      </c>
      <c r="F12935">
        <v>-4748.8999999999996</v>
      </c>
    </row>
    <row r="12936" spans="1:6" hidden="1" x14ac:dyDescent="0.25">
      <c r="A12936" t="s">
        <v>713</v>
      </c>
      <c r="B12936" t="s">
        <v>63</v>
      </c>
      <c r="E12936" s="3">
        <f>HYPERLINK("https://sao.dolgi.msk.ru/account/1404211423/", 1404211423)</f>
        <v>1404211423</v>
      </c>
      <c r="F12936">
        <v>0</v>
      </c>
    </row>
    <row r="12937" spans="1:6" hidden="1" x14ac:dyDescent="0.25">
      <c r="A12937" t="s">
        <v>713</v>
      </c>
      <c r="B12937" t="s">
        <v>64</v>
      </c>
      <c r="E12937" s="3">
        <f>HYPERLINK("https://sao.dolgi.msk.ru/account/1404210631/", 1404210631)</f>
        <v>1404210631</v>
      </c>
      <c r="F12937">
        <v>-2079.9299999999998</v>
      </c>
    </row>
    <row r="12938" spans="1:6" hidden="1" x14ac:dyDescent="0.25">
      <c r="A12938" t="s">
        <v>713</v>
      </c>
      <c r="B12938" t="s">
        <v>65</v>
      </c>
      <c r="E12938" s="3">
        <f>HYPERLINK("https://sao.dolgi.msk.ru/account/1404210367/", 1404210367)</f>
        <v>1404210367</v>
      </c>
      <c r="F12938">
        <v>-2837.94</v>
      </c>
    </row>
    <row r="12939" spans="1:6" hidden="1" x14ac:dyDescent="0.25">
      <c r="A12939" t="s">
        <v>713</v>
      </c>
      <c r="B12939" t="s">
        <v>66</v>
      </c>
      <c r="E12939" s="3">
        <f>HYPERLINK("https://sao.dolgi.msk.ru/account/1404211386/", 1404211386)</f>
        <v>1404211386</v>
      </c>
      <c r="F12939">
        <v>-1011.76</v>
      </c>
    </row>
    <row r="12940" spans="1:6" hidden="1" x14ac:dyDescent="0.25">
      <c r="A12940" t="s">
        <v>713</v>
      </c>
      <c r="B12940" t="s">
        <v>67</v>
      </c>
      <c r="E12940" s="3">
        <f>HYPERLINK("https://sao.dolgi.msk.ru/account/1404210658/", 1404210658)</f>
        <v>1404210658</v>
      </c>
      <c r="F12940">
        <v>0</v>
      </c>
    </row>
    <row r="12941" spans="1:6" hidden="1" x14ac:dyDescent="0.25">
      <c r="A12941" t="s">
        <v>713</v>
      </c>
      <c r="B12941" t="s">
        <v>68</v>
      </c>
      <c r="E12941" s="3">
        <f>HYPERLINK("https://sao.dolgi.msk.ru/account/1404211116/", 1404211116)</f>
        <v>1404211116</v>
      </c>
      <c r="F12941">
        <v>0</v>
      </c>
    </row>
    <row r="12942" spans="1:6" hidden="1" x14ac:dyDescent="0.25">
      <c r="A12942" t="s">
        <v>713</v>
      </c>
      <c r="B12942" t="s">
        <v>69</v>
      </c>
      <c r="E12942" s="3">
        <f>HYPERLINK("https://sao.dolgi.msk.ru/account/1404210762/", 1404210762)</f>
        <v>1404210762</v>
      </c>
      <c r="F12942">
        <v>-1830.35</v>
      </c>
    </row>
    <row r="12943" spans="1:6" x14ac:dyDescent="0.25">
      <c r="A12943" t="s">
        <v>713</v>
      </c>
      <c r="B12943" t="s">
        <v>70</v>
      </c>
      <c r="C12943" s="5" t="str">
        <f>" кв. "&amp;B12943</f>
        <v xml:space="preserve"> кв. 66</v>
      </c>
      <c r="D12943" s="5" t="str">
        <f>CONCATENATE(A12943,C12943)</f>
        <v>Фестивальная ул., дом 9 кв. 66</v>
      </c>
      <c r="E12943" s="3">
        <f>HYPERLINK("https://sao.dolgi.msk.ru/account/1404210535/", 1404210535)</f>
        <v>1404210535</v>
      </c>
      <c r="F12943">
        <v>1967.39</v>
      </c>
    </row>
    <row r="12944" spans="1:6" hidden="1" x14ac:dyDescent="0.25">
      <c r="A12944" t="s">
        <v>713</v>
      </c>
      <c r="B12944" t="s">
        <v>71</v>
      </c>
      <c r="E12944" s="3">
        <f>HYPERLINK("https://sao.dolgi.msk.ru/account/1404210543/", 1404210543)</f>
        <v>1404210543</v>
      </c>
      <c r="F12944">
        <v>0</v>
      </c>
    </row>
    <row r="12945" spans="1:6" hidden="1" x14ac:dyDescent="0.25">
      <c r="A12945" t="s">
        <v>713</v>
      </c>
      <c r="B12945" t="s">
        <v>72</v>
      </c>
      <c r="E12945" s="3">
        <f>HYPERLINK("https://sao.dolgi.msk.ru/account/1404210455/", 1404210455)</f>
        <v>1404210455</v>
      </c>
      <c r="F12945">
        <v>0</v>
      </c>
    </row>
    <row r="12946" spans="1:6" hidden="1" x14ac:dyDescent="0.25">
      <c r="A12946" t="s">
        <v>713</v>
      </c>
      <c r="B12946" t="s">
        <v>73</v>
      </c>
      <c r="E12946" s="3">
        <f>HYPERLINK("https://sao.dolgi.msk.ru/account/1404210551/", 1404210551)</f>
        <v>1404210551</v>
      </c>
      <c r="F12946">
        <v>-196.31</v>
      </c>
    </row>
    <row r="12947" spans="1:6" x14ac:dyDescent="0.25">
      <c r="A12947" t="s">
        <v>713</v>
      </c>
      <c r="B12947" t="s">
        <v>74</v>
      </c>
      <c r="C12947" s="5" t="str">
        <f>" кв. "&amp;B12947</f>
        <v xml:space="preserve"> кв. 70</v>
      </c>
      <c r="D12947" s="5" t="str">
        <f>CONCATENATE(A12947,C12947)</f>
        <v>Фестивальная ул., дом 9 кв. 70</v>
      </c>
      <c r="E12947" s="3">
        <f>HYPERLINK("https://sao.dolgi.msk.ru/account/1404210578/", 1404210578)</f>
        <v>1404210578</v>
      </c>
      <c r="F12947">
        <v>1938.92</v>
      </c>
    </row>
    <row r="12948" spans="1:6" hidden="1" x14ac:dyDescent="0.25">
      <c r="A12948" t="s">
        <v>713</v>
      </c>
      <c r="B12948" t="s">
        <v>75</v>
      </c>
      <c r="E12948" s="3">
        <f>HYPERLINK("https://sao.dolgi.msk.ru/account/1404210957/", 1404210957)</f>
        <v>1404210957</v>
      </c>
      <c r="F12948">
        <v>0</v>
      </c>
    </row>
    <row r="12949" spans="1:6" hidden="1" x14ac:dyDescent="0.25">
      <c r="A12949" t="s">
        <v>713</v>
      </c>
      <c r="B12949" t="s">
        <v>76</v>
      </c>
      <c r="E12949" s="3">
        <f>HYPERLINK("https://sao.dolgi.msk.ru/account/1404210965/", 1404210965)</f>
        <v>1404210965</v>
      </c>
      <c r="F12949">
        <v>-901.7</v>
      </c>
    </row>
    <row r="12950" spans="1:6" x14ac:dyDescent="0.25">
      <c r="A12950" t="s">
        <v>713</v>
      </c>
      <c r="B12950" t="s">
        <v>77</v>
      </c>
      <c r="C12950" s="5" t="str">
        <f>" кв. "&amp;B12950</f>
        <v xml:space="preserve"> кв. 73</v>
      </c>
      <c r="D12950" s="5" t="str">
        <f>CONCATENATE(A12950,C12950)</f>
        <v>Фестивальная ул., дом 9 кв. 73</v>
      </c>
      <c r="E12950" s="3">
        <f>HYPERLINK("https://sao.dolgi.msk.ru/account/1404210471/", 1404210471)</f>
        <v>1404210471</v>
      </c>
      <c r="F12950">
        <v>1627.1</v>
      </c>
    </row>
    <row r="12951" spans="1:6" hidden="1" x14ac:dyDescent="0.25">
      <c r="A12951" t="s">
        <v>713</v>
      </c>
      <c r="B12951" t="s">
        <v>78</v>
      </c>
      <c r="E12951" s="3">
        <f>HYPERLINK("https://sao.dolgi.msk.ru/account/1404210789/", 1404210789)</f>
        <v>1404210789</v>
      </c>
      <c r="F12951">
        <v>0</v>
      </c>
    </row>
    <row r="12952" spans="1:6" x14ac:dyDescent="0.25">
      <c r="A12952" t="s">
        <v>713</v>
      </c>
      <c r="B12952" t="s">
        <v>79</v>
      </c>
      <c r="C12952" s="5" t="str">
        <f>" кв. "&amp;B12952</f>
        <v xml:space="preserve"> кв. 75</v>
      </c>
      <c r="D12952" s="5" t="str">
        <f>CONCATENATE(A12952,C12952)</f>
        <v>Фестивальная ул., дом 9 кв. 75</v>
      </c>
      <c r="E12952" s="3">
        <f>HYPERLINK("https://sao.dolgi.msk.ru/account/1404210746/", 1404210746)</f>
        <v>1404210746</v>
      </c>
      <c r="F12952">
        <v>2475.1</v>
      </c>
    </row>
    <row r="12953" spans="1:6" hidden="1" x14ac:dyDescent="0.25">
      <c r="A12953" t="s">
        <v>713</v>
      </c>
      <c r="B12953" t="s">
        <v>80</v>
      </c>
      <c r="E12953" s="3">
        <f>HYPERLINK("https://sao.dolgi.msk.ru/account/1404211407/", 1404211407)</f>
        <v>1404211407</v>
      </c>
      <c r="F12953">
        <v>0</v>
      </c>
    </row>
    <row r="12954" spans="1:6" x14ac:dyDescent="0.25">
      <c r="A12954" t="s">
        <v>713</v>
      </c>
      <c r="B12954" t="s">
        <v>81</v>
      </c>
      <c r="C12954" s="5" t="str">
        <f>" кв. "&amp;B12954</f>
        <v xml:space="preserve"> кв. 77</v>
      </c>
      <c r="D12954" s="5" t="str">
        <f>CONCATENATE(A12954,C12954)</f>
        <v>Фестивальная ул., дом 9 кв. 77</v>
      </c>
      <c r="E12954" s="3">
        <f>HYPERLINK("https://sao.dolgi.msk.ru/account/1404211167/", 1404211167)</f>
        <v>1404211167</v>
      </c>
      <c r="F12954">
        <v>1473.95</v>
      </c>
    </row>
    <row r="12955" spans="1:6" hidden="1" x14ac:dyDescent="0.25">
      <c r="A12955" t="s">
        <v>713</v>
      </c>
      <c r="B12955" t="s">
        <v>82</v>
      </c>
      <c r="E12955" s="3">
        <f>HYPERLINK("https://sao.dolgi.msk.ru/account/1404211335/", 1404211335)</f>
        <v>1404211335</v>
      </c>
      <c r="F12955">
        <v>-2635.52</v>
      </c>
    </row>
    <row r="12956" spans="1:6" hidden="1" x14ac:dyDescent="0.25">
      <c r="A12956" t="s">
        <v>713</v>
      </c>
      <c r="B12956" t="s">
        <v>83</v>
      </c>
      <c r="E12956" s="3">
        <f>HYPERLINK("https://sao.dolgi.msk.ru/account/1404210754/", 1404210754)</f>
        <v>1404210754</v>
      </c>
      <c r="F12956">
        <v>-1845.93</v>
      </c>
    </row>
    <row r="12957" spans="1:6" hidden="1" x14ac:dyDescent="0.25">
      <c r="A12957" t="s">
        <v>713</v>
      </c>
      <c r="B12957" t="s">
        <v>84</v>
      </c>
      <c r="E12957" s="3">
        <f>HYPERLINK("https://sao.dolgi.msk.ru/account/1404211175/", 1404211175)</f>
        <v>1404211175</v>
      </c>
      <c r="F12957">
        <v>-2935.01</v>
      </c>
    </row>
    <row r="12958" spans="1:6" hidden="1" x14ac:dyDescent="0.25">
      <c r="A12958" t="s">
        <v>713</v>
      </c>
      <c r="B12958" t="s">
        <v>85</v>
      </c>
      <c r="E12958" s="3">
        <f>HYPERLINK("https://sao.dolgi.msk.ru/account/1404210981/", 1404210981)</f>
        <v>1404210981</v>
      </c>
      <c r="F12958">
        <v>-3531.27</v>
      </c>
    </row>
    <row r="12959" spans="1:6" x14ac:dyDescent="0.25">
      <c r="A12959" t="s">
        <v>713</v>
      </c>
      <c r="B12959" t="s">
        <v>86</v>
      </c>
      <c r="C12959" s="5" t="str">
        <f>" кв. "&amp;B12959</f>
        <v xml:space="preserve"> кв. 82</v>
      </c>
      <c r="D12959" s="5" t="str">
        <f>CONCATENATE(A12959,C12959)</f>
        <v>Фестивальная ул., дом 9 кв. 82</v>
      </c>
      <c r="E12959" s="3">
        <f>HYPERLINK("https://sao.dolgi.msk.ru/account/1404210586/", 1404210586)</f>
        <v>1404210586</v>
      </c>
      <c r="F12959">
        <v>1935.76</v>
      </c>
    </row>
    <row r="12960" spans="1:6" hidden="1" x14ac:dyDescent="0.25">
      <c r="A12960" t="s">
        <v>713</v>
      </c>
      <c r="B12960" t="s">
        <v>87</v>
      </c>
      <c r="E12960" s="3">
        <f>HYPERLINK("https://sao.dolgi.msk.ru/account/1404211183/", 1404211183)</f>
        <v>1404211183</v>
      </c>
      <c r="F12960">
        <v>-1984.89</v>
      </c>
    </row>
    <row r="12961" spans="1:6" x14ac:dyDescent="0.25">
      <c r="A12961" t="s">
        <v>713</v>
      </c>
      <c r="B12961" t="s">
        <v>88</v>
      </c>
      <c r="C12961" s="5" t="str">
        <f>" кв. "&amp;B12961</f>
        <v xml:space="preserve"> кв. 84</v>
      </c>
      <c r="D12961" s="5" t="str">
        <f>CONCATENATE(A12961,C12961)</f>
        <v>Фестивальная ул., дом 9 кв. 84</v>
      </c>
      <c r="E12961" s="3">
        <f>HYPERLINK("https://sao.dolgi.msk.ru/account/1404211079/", 1404211079)</f>
        <v>1404211079</v>
      </c>
      <c r="F12961">
        <v>2951.08</v>
      </c>
    </row>
    <row r="12962" spans="1:6" hidden="1" x14ac:dyDescent="0.25">
      <c r="A12962" t="s">
        <v>713</v>
      </c>
      <c r="B12962" t="s">
        <v>89</v>
      </c>
      <c r="E12962" s="3">
        <f>HYPERLINK("https://sao.dolgi.msk.ru/account/1404210498/", 1404210498)</f>
        <v>1404210498</v>
      </c>
      <c r="F12962">
        <v>-1733.56</v>
      </c>
    </row>
    <row r="12963" spans="1:6" hidden="1" x14ac:dyDescent="0.25">
      <c r="A12963" t="s">
        <v>713</v>
      </c>
      <c r="B12963" t="s">
        <v>90</v>
      </c>
      <c r="E12963" s="3">
        <f>HYPERLINK("https://sao.dolgi.msk.ru/account/1404211191/", 1404211191)</f>
        <v>1404211191</v>
      </c>
      <c r="F12963">
        <v>-2976.61</v>
      </c>
    </row>
    <row r="12964" spans="1:6" x14ac:dyDescent="0.25">
      <c r="A12964" t="s">
        <v>713</v>
      </c>
      <c r="B12964" t="s">
        <v>91</v>
      </c>
      <c r="C12964" s="5" t="str">
        <f>" кв. "&amp;B12964</f>
        <v xml:space="preserve"> кв. 87</v>
      </c>
      <c r="D12964" s="5" t="str">
        <f>CONCATENATE(A12964,C12964)</f>
        <v>Фестивальная ул., дом 9 кв. 87</v>
      </c>
      <c r="E12964" s="3">
        <f>HYPERLINK("https://sao.dolgi.msk.ru/account/1404210519/", 1404210519)</f>
        <v>1404210519</v>
      </c>
      <c r="F12964">
        <v>2941.59</v>
      </c>
    </row>
    <row r="12965" spans="1:6" hidden="1" x14ac:dyDescent="0.25">
      <c r="A12965" t="s">
        <v>713</v>
      </c>
      <c r="B12965" t="s">
        <v>92</v>
      </c>
      <c r="E12965" s="3">
        <f>HYPERLINK("https://sao.dolgi.msk.ru/account/1404210332/", 1404210332)</f>
        <v>1404210332</v>
      </c>
      <c r="F12965">
        <v>0</v>
      </c>
    </row>
    <row r="12966" spans="1:6" hidden="1" x14ac:dyDescent="0.25">
      <c r="A12966" t="s">
        <v>713</v>
      </c>
      <c r="B12966" t="s">
        <v>93</v>
      </c>
      <c r="E12966" s="3">
        <f>HYPERLINK("https://sao.dolgi.msk.ru/account/1404211204/", 1404211204)</f>
        <v>1404211204</v>
      </c>
      <c r="F12966">
        <v>-3032.07</v>
      </c>
    </row>
    <row r="12967" spans="1:6" hidden="1" x14ac:dyDescent="0.25">
      <c r="A12967" t="s">
        <v>713</v>
      </c>
      <c r="B12967" t="s">
        <v>94</v>
      </c>
      <c r="E12967" s="3">
        <f>HYPERLINK("https://sao.dolgi.msk.ru/account/1404211378/", 1404211378)</f>
        <v>1404211378</v>
      </c>
      <c r="F12967">
        <v>-4349.3599999999997</v>
      </c>
    </row>
    <row r="12968" spans="1:6" hidden="1" x14ac:dyDescent="0.25">
      <c r="A12968" t="s">
        <v>713</v>
      </c>
      <c r="B12968" t="s">
        <v>95</v>
      </c>
      <c r="E12968" s="3">
        <f>HYPERLINK("https://sao.dolgi.msk.ru/account/1404211095/", 1404211095)</f>
        <v>1404211095</v>
      </c>
      <c r="F12968">
        <v>-1948.41</v>
      </c>
    </row>
    <row r="12969" spans="1:6" hidden="1" x14ac:dyDescent="0.25">
      <c r="A12969" t="s">
        <v>713</v>
      </c>
      <c r="B12969" t="s">
        <v>96</v>
      </c>
      <c r="E12969" s="3">
        <f>HYPERLINK("https://sao.dolgi.msk.ru/account/1404210359/", 1404210359)</f>
        <v>1404210359</v>
      </c>
      <c r="F12969">
        <v>0</v>
      </c>
    </row>
    <row r="12970" spans="1:6" hidden="1" x14ac:dyDescent="0.25">
      <c r="A12970" t="s">
        <v>713</v>
      </c>
      <c r="B12970" t="s">
        <v>97</v>
      </c>
      <c r="E12970" s="3">
        <f>HYPERLINK("https://sao.dolgi.msk.ru/account/1404210623/", 1404210623)</f>
        <v>1404210623</v>
      </c>
      <c r="F12970">
        <v>-4312.3999999999996</v>
      </c>
    </row>
    <row r="12971" spans="1:6" hidden="1" x14ac:dyDescent="0.25">
      <c r="A12971" t="s">
        <v>713</v>
      </c>
      <c r="B12971" t="s">
        <v>98</v>
      </c>
      <c r="E12971" s="3">
        <f>HYPERLINK("https://sao.dolgi.msk.ru/account/1404210869/", 1404210869)</f>
        <v>1404210869</v>
      </c>
      <c r="F12971">
        <v>-2393.91</v>
      </c>
    </row>
    <row r="12972" spans="1:6" hidden="1" x14ac:dyDescent="0.25">
      <c r="A12972" t="s">
        <v>713</v>
      </c>
      <c r="B12972" t="s">
        <v>99</v>
      </c>
      <c r="E12972" s="3">
        <f>HYPERLINK("https://sao.dolgi.msk.ru/account/1404210375/", 1404210375)</f>
        <v>1404210375</v>
      </c>
      <c r="F12972">
        <v>-1525.27</v>
      </c>
    </row>
    <row r="12973" spans="1:6" x14ac:dyDescent="0.25">
      <c r="A12973" t="s">
        <v>713</v>
      </c>
      <c r="B12973" t="s">
        <v>100</v>
      </c>
      <c r="C12973" s="5" t="str">
        <f>" кв. "&amp;B12973</f>
        <v xml:space="preserve"> кв. 96</v>
      </c>
      <c r="D12973" s="5" t="str">
        <f>CONCATENATE(A12973,C12973)</f>
        <v>Фестивальная ул., дом 9 кв. 96</v>
      </c>
      <c r="E12973" s="3">
        <f>HYPERLINK("https://sao.dolgi.msk.ru/account/1404211124/", 1404211124)</f>
        <v>1404211124</v>
      </c>
      <c r="F12973">
        <v>2963.73</v>
      </c>
    </row>
    <row r="12974" spans="1:6" hidden="1" x14ac:dyDescent="0.25">
      <c r="A12974" t="s">
        <v>714</v>
      </c>
      <c r="B12974" t="s">
        <v>5</v>
      </c>
      <c r="E12974" s="3">
        <f>HYPERLINK("https://sao.dolgi.msk.ru/account/1404212725/", 1404212725)</f>
        <v>1404212725</v>
      </c>
      <c r="F12974">
        <v>-1405.3</v>
      </c>
    </row>
    <row r="12975" spans="1:6" hidden="1" x14ac:dyDescent="0.25">
      <c r="A12975" t="s">
        <v>714</v>
      </c>
      <c r="B12975" t="s">
        <v>6</v>
      </c>
      <c r="E12975" s="3">
        <f>HYPERLINK("https://sao.dolgi.msk.ru/account/1404211618/", 1404211618)</f>
        <v>1404211618</v>
      </c>
      <c r="F12975">
        <v>-1549.11</v>
      </c>
    </row>
    <row r="12976" spans="1:6" hidden="1" x14ac:dyDescent="0.25">
      <c r="A12976" t="s">
        <v>714</v>
      </c>
      <c r="B12976" t="s">
        <v>7</v>
      </c>
      <c r="E12976" s="3">
        <f>HYPERLINK("https://sao.dolgi.msk.ru/account/1404211802/", 1404211802)</f>
        <v>1404211802</v>
      </c>
      <c r="F12976">
        <v>-1203.95</v>
      </c>
    </row>
    <row r="12977" spans="1:6" hidden="1" x14ac:dyDescent="0.25">
      <c r="A12977" t="s">
        <v>714</v>
      </c>
      <c r="B12977" t="s">
        <v>8</v>
      </c>
      <c r="E12977" s="3">
        <f>HYPERLINK("https://sao.dolgi.msk.ru/account/1404212231/", 1404212231)</f>
        <v>1404212231</v>
      </c>
      <c r="F12977">
        <v>-1772.03</v>
      </c>
    </row>
    <row r="12978" spans="1:6" x14ac:dyDescent="0.25">
      <c r="A12978" t="s">
        <v>714</v>
      </c>
      <c r="B12978" t="s">
        <v>9</v>
      </c>
      <c r="C12978" s="5" t="str">
        <f>" кв. "&amp;B12978</f>
        <v xml:space="preserve"> кв. 5</v>
      </c>
      <c r="D12978" s="5" t="str">
        <f>CONCATENATE(A12978,C12978)</f>
        <v>Фестивальная ул., дом 15 к.1 кв. 5</v>
      </c>
      <c r="E12978" s="3">
        <f>HYPERLINK("https://sao.dolgi.msk.ru/account/1404212178/", 1404212178)</f>
        <v>1404212178</v>
      </c>
      <c r="F12978">
        <v>536.13</v>
      </c>
    </row>
    <row r="12979" spans="1:6" hidden="1" x14ac:dyDescent="0.25">
      <c r="A12979" t="s">
        <v>714</v>
      </c>
      <c r="B12979" t="s">
        <v>10</v>
      </c>
      <c r="E12979" s="3">
        <f>HYPERLINK("https://sao.dolgi.msk.ru/account/1404212047/", 1404212047)</f>
        <v>1404212047</v>
      </c>
      <c r="F12979">
        <v>-1747.13</v>
      </c>
    </row>
    <row r="12980" spans="1:6" hidden="1" x14ac:dyDescent="0.25">
      <c r="A12980" t="s">
        <v>714</v>
      </c>
      <c r="B12980" t="s">
        <v>11</v>
      </c>
      <c r="E12980" s="3">
        <f>HYPERLINK("https://sao.dolgi.msk.ru/account/1404212063/", 1404212063)</f>
        <v>1404212063</v>
      </c>
      <c r="F12980">
        <v>-1368.13</v>
      </c>
    </row>
    <row r="12981" spans="1:6" hidden="1" x14ac:dyDescent="0.25">
      <c r="A12981" t="s">
        <v>714</v>
      </c>
      <c r="B12981" t="s">
        <v>12</v>
      </c>
      <c r="E12981" s="3">
        <f>HYPERLINK("https://sao.dolgi.msk.ru/account/1404212709/", 1404212709)</f>
        <v>1404212709</v>
      </c>
      <c r="F12981">
        <v>-1748.33</v>
      </c>
    </row>
    <row r="12982" spans="1:6" hidden="1" x14ac:dyDescent="0.25">
      <c r="A12982" t="s">
        <v>714</v>
      </c>
      <c r="B12982" t="s">
        <v>13</v>
      </c>
      <c r="E12982" s="3">
        <f>HYPERLINK("https://sao.dolgi.msk.ru/account/1404212389/", 1404212389)</f>
        <v>1404212389</v>
      </c>
      <c r="F12982">
        <v>-1171.68</v>
      </c>
    </row>
    <row r="12983" spans="1:6" hidden="1" x14ac:dyDescent="0.25">
      <c r="A12983" t="s">
        <v>714</v>
      </c>
      <c r="B12983" t="s">
        <v>14</v>
      </c>
      <c r="E12983" s="3">
        <f>HYPERLINK("https://sao.dolgi.msk.ru/account/1404212565/", 1404212565)</f>
        <v>1404212565</v>
      </c>
      <c r="F12983">
        <v>-1747.13</v>
      </c>
    </row>
    <row r="12984" spans="1:6" hidden="1" x14ac:dyDescent="0.25">
      <c r="A12984" t="s">
        <v>714</v>
      </c>
      <c r="B12984" t="s">
        <v>15</v>
      </c>
      <c r="E12984" s="3">
        <f>HYPERLINK("https://sao.dolgi.msk.ru/account/1404211562/", 1404211562)</f>
        <v>1404211562</v>
      </c>
      <c r="F12984">
        <v>-431.88</v>
      </c>
    </row>
    <row r="12985" spans="1:6" x14ac:dyDescent="0.25">
      <c r="A12985" t="s">
        <v>714</v>
      </c>
      <c r="B12985" t="s">
        <v>16</v>
      </c>
      <c r="C12985" s="5" t="str">
        <f>" кв. "&amp;B12985</f>
        <v xml:space="preserve"> кв. 12</v>
      </c>
      <c r="D12985" s="5" t="str">
        <f>CONCATENATE(A12985,C12985)</f>
        <v>Фестивальная ул., дом 15 к.1 кв. 12</v>
      </c>
      <c r="E12985" s="3">
        <f>HYPERLINK("https://sao.dolgi.msk.ru/account/1404211589/", 1404211589)</f>
        <v>1404211589</v>
      </c>
      <c r="F12985">
        <v>1802.91</v>
      </c>
    </row>
    <row r="12986" spans="1:6" hidden="1" x14ac:dyDescent="0.25">
      <c r="A12986" t="s">
        <v>714</v>
      </c>
      <c r="B12986" t="s">
        <v>17</v>
      </c>
      <c r="E12986" s="3">
        <f>HYPERLINK("https://sao.dolgi.msk.ru/account/1404212258/", 1404212258)</f>
        <v>1404212258</v>
      </c>
      <c r="F12986">
        <v>-494.62</v>
      </c>
    </row>
    <row r="12987" spans="1:6" x14ac:dyDescent="0.25">
      <c r="A12987" t="s">
        <v>714</v>
      </c>
      <c r="B12987" t="s">
        <v>18</v>
      </c>
      <c r="C12987" s="5" t="str">
        <f t="shared" ref="C12987:C12988" si="522">" кв. "&amp;B12987</f>
        <v xml:space="preserve"> кв. 14</v>
      </c>
      <c r="D12987" s="5" t="str">
        <f>CONCATENATE(A12987,C12987)</f>
        <v>Фестивальная ул., дом 15 к.1 кв. 14</v>
      </c>
      <c r="E12987" s="3">
        <f>HYPERLINK("https://sao.dolgi.msk.ru/account/1404212426/", 1404212426)</f>
        <v>1404212426</v>
      </c>
      <c r="F12987">
        <v>1195.6099999999999</v>
      </c>
    </row>
    <row r="12988" spans="1:6" x14ac:dyDescent="0.25">
      <c r="A12988" t="s">
        <v>714</v>
      </c>
      <c r="B12988" t="s">
        <v>19</v>
      </c>
      <c r="C12988" s="5" t="str">
        <f t="shared" si="522"/>
        <v xml:space="preserve"> кв. 15</v>
      </c>
      <c r="D12988" s="5" t="str">
        <f>CONCATENATE(A12988,C12988)</f>
        <v>Фестивальная ул., дом 15 к.1 кв. 15</v>
      </c>
      <c r="E12988" s="3">
        <f>HYPERLINK("https://sao.dolgi.msk.ru/account/1404212434/", 1404212434)</f>
        <v>1404212434</v>
      </c>
      <c r="F12988">
        <v>942.57</v>
      </c>
    </row>
    <row r="12989" spans="1:6" hidden="1" x14ac:dyDescent="0.25">
      <c r="A12989" t="s">
        <v>714</v>
      </c>
      <c r="B12989" t="s">
        <v>20</v>
      </c>
      <c r="E12989" s="3">
        <f>HYPERLINK("https://sao.dolgi.msk.ru/account/1404212266/", 1404212266)</f>
        <v>1404212266</v>
      </c>
      <c r="F12989">
        <v>-1853.46</v>
      </c>
    </row>
    <row r="12990" spans="1:6" hidden="1" x14ac:dyDescent="0.25">
      <c r="A12990" t="s">
        <v>714</v>
      </c>
      <c r="B12990" t="s">
        <v>21</v>
      </c>
      <c r="E12990" s="3">
        <f>HYPERLINK("https://sao.dolgi.msk.ru/account/1404211597/", 1404211597)</f>
        <v>1404211597</v>
      </c>
      <c r="F12990">
        <v>-1315.67</v>
      </c>
    </row>
    <row r="12991" spans="1:6" x14ac:dyDescent="0.25">
      <c r="A12991" t="s">
        <v>714</v>
      </c>
      <c r="B12991" t="s">
        <v>22</v>
      </c>
      <c r="C12991" s="5" t="str">
        <f t="shared" ref="C12991:C12992" si="523">" кв. "&amp;B12991</f>
        <v xml:space="preserve"> кв. 18</v>
      </c>
      <c r="D12991" s="5" t="str">
        <f>CONCATENATE(A12991,C12991)</f>
        <v>Фестивальная ул., дом 15 к.1 кв. 18</v>
      </c>
      <c r="E12991" s="3">
        <f>HYPERLINK("https://sao.dolgi.msk.ru/account/1404211773/", 1404211773)</f>
        <v>1404211773</v>
      </c>
      <c r="F12991">
        <v>1182.96</v>
      </c>
    </row>
    <row r="12992" spans="1:6" x14ac:dyDescent="0.25">
      <c r="A12992" t="s">
        <v>714</v>
      </c>
      <c r="B12992" t="s">
        <v>23</v>
      </c>
      <c r="C12992" s="5" t="str">
        <f t="shared" si="523"/>
        <v xml:space="preserve"> кв. 19</v>
      </c>
      <c r="D12992" s="5" t="str">
        <f>CONCATENATE(A12992,C12992)</f>
        <v>Фестивальная ул., дом 15 к.1 кв. 19</v>
      </c>
      <c r="E12992" s="3">
        <f>HYPERLINK("https://sao.dolgi.msk.ru/account/1404211976/", 1404211976)</f>
        <v>1404211976</v>
      </c>
      <c r="F12992">
        <v>453.89</v>
      </c>
    </row>
    <row r="12993" spans="1:6" hidden="1" x14ac:dyDescent="0.25">
      <c r="A12993" t="s">
        <v>714</v>
      </c>
      <c r="B12993" t="s">
        <v>24</v>
      </c>
      <c r="E12993" s="3">
        <f>HYPERLINK("https://sao.dolgi.msk.ru/account/1404212792/", 1404212792)</f>
        <v>1404212792</v>
      </c>
      <c r="F12993">
        <v>-1853.46</v>
      </c>
    </row>
    <row r="12994" spans="1:6" hidden="1" x14ac:dyDescent="0.25">
      <c r="A12994" t="s">
        <v>714</v>
      </c>
      <c r="B12994" t="s">
        <v>25</v>
      </c>
      <c r="E12994" s="3">
        <f>HYPERLINK("https://sao.dolgi.msk.ru/account/1404211626/", 1404211626)</f>
        <v>1404211626</v>
      </c>
      <c r="F12994">
        <v>-1298.4000000000001</v>
      </c>
    </row>
    <row r="12995" spans="1:6" hidden="1" x14ac:dyDescent="0.25">
      <c r="A12995" t="s">
        <v>714</v>
      </c>
      <c r="B12995" t="s">
        <v>26</v>
      </c>
      <c r="E12995" s="3">
        <f>HYPERLINK("https://sao.dolgi.msk.ru/account/1404211781/", 1404211781)</f>
        <v>1404211781</v>
      </c>
      <c r="F12995">
        <v>0</v>
      </c>
    </row>
    <row r="12996" spans="1:6" hidden="1" x14ac:dyDescent="0.25">
      <c r="A12996" t="s">
        <v>714</v>
      </c>
      <c r="B12996" t="s">
        <v>27</v>
      </c>
      <c r="E12996" s="3">
        <f>HYPERLINK("https://sao.dolgi.msk.ru/account/1404212274/", 1404212274)</f>
        <v>1404212274</v>
      </c>
      <c r="F12996">
        <v>-1148.29</v>
      </c>
    </row>
    <row r="12997" spans="1:6" hidden="1" x14ac:dyDescent="0.25">
      <c r="A12997" t="s">
        <v>714</v>
      </c>
      <c r="B12997" t="s">
        <v>28</v>
      </c>
      <c r="E12997" s="3">
        <f>HYPERLINK("https://sao.dolgi.msk.ru/account/1404212282/", 1404212282)</f>
        <v>1404212282</v>
      </c>
      <c r="F12997">
        <v>-1700.73</v>
      </c>
    </row>
    <row r="12998" spans="1:6" hidden="1" x14ac:dyDescent="0.25">
      <c r="A12998" t="s">
        <v>714</v>
      </c>
      <c r="B12998" t="s">
        <v>29</v>
      </c>
      <c r="E12998" s="3">
        <f>HYPERLINK("https://sao.dolgi.msk.ru/account/1404211634/", 1404211634)</f>
        <v>1404211634</v>
      </c>
      <c r="F12998">
        <v>-1539.14</v>
      </c>
    </row>
    <row r="12999" spans="1:6" hidden="1" x14ac:dyDescent="0.25">
      <c r="A12999" t="s">
        <v>714</v>
      </c>
      <c r="B12999" t="s">
        <v>30</v>
      </c>
      <c r="E12999" s="3">
        <f>HYPERLINK("https://sao.dolgi.msk.ru/account/1404212442/", 1404212442)</f>
        <v>1404212442</v>
      </c>
      <c r="F12999">
        <v>-970.65</v>
      </c>
    </row>
    <row r="13000" spans="1:6" hidden="1" x14ac:dyDescent="0.25">
      <c r="A13000" t="s">
        <v>714</v>
      </c>
      <c r="B13000" t="s">
        <v>31</v>
      </c>
      <c r="E13000" s="3">
        <f>HYPERLINK("https://sao.dolgi.msk.ru/account/1404212303/", 1404212303)</f>
        <v>1404212303</v>
      </c>
      <c r="F13000">
        <v>0</v>
      </c>
    </row>
    <row r="13001" spans="1:6" hidden="1" x14ac:dyDescent="0.25">
      <c r="A13001" t="s">
        <v>714</v>
      </c>
      <c r="B13001" t="s">
        <v>32</v>
      </c>
      <c r="E13001" s="3">
        <f>HYPERLINK("https://sao.dolgi.msk.ru/account/1404211984/", 1404211984)</f>
        <v>1404211984</v>
      </c>
      <c r="F13001">
        <v>0</v>
      </c>
    </row>
    <row r="13002" spans="1:6" x14ac:dyDescent="0.25">
      <c r="A13002" t="s">
        <v>714</v>
      </c>
      <c r="B13002" t="s">
        <v>33</v>
      </c>
      <c r="C13002" s="5" t="str">
        <f>" кв. "&amp;B13002</f>
        <v xml:space="preserve"> кв. 29</v>
      </c>
      <c r="D13002" s="5" t="str">
        <f>CONCATENATE(A13002,C13002)</f>
        <v>Фестивальная ул., дом 15 к.1 кв. 29</v>
      </c>
      <c r="E13002" s="3">
        <f>HYPERLINK("https://sao.dolgi.msk.ru/account/1404212135/", 1404212135)</f>
        <v>1404212135</v>
      </c>
      <c r="F13002">
        <v>1043.79</v>
      </c>
    </row>
    <row r="13003" spans="1:6" hidden="1" x14ac:dyDescent="0.25">
      <c r="A13003" t="s">
        <v>714</v>
      </c>
      <c r="B13003" t="s">
        <v>34</v>
      </c>
      <c r="E13003" s="3">
        <f>HYPERLINK("https://sao.dolgi.msk.ru/account/1404211992/", 1404211992)</f>
        <v>1404211992</v>
      </c>
      <c r="F13003">
        <v>-979.87</v>
      </c>
    </row>
    <row r="13004" spans="1:6" hidden="1" x14ac:dyDescent="0.25">
      <c r="A13004" t="s">
        <v>714</v>
      </c>
      <c r="B13004" t="s">
        <v>35</v>
      </c>
      <c r="E13004" s="3">
        <f>HYPERLINK("https://sao.dolgi.msk.ru/account/1404212004/", 1404212004)</f>
        <v>1404212004</v>
      </c>
      <c r="F13004">
        <v>-929.92</v>
      </c>
    </row>
    <row r="13005" spans="1:6" hidden="1" x14ac:dyDescent="0.25">
      <c r="A13005" t="s">
        <v>714</v>
      </c>
      <c r="B13005" t="s">
        <v>36</v>
      </c>
      <c r="E13005" s="3">
        <f>HYPERLINK("https://sao.dolgi.msk.ru/account/1404212469/", 1404212469)</f>
        <v>1404212469</v>
      </c>
      <c r="F13005">
        <v>-1145.07</v>
      </c>
    </row>
    <row r="13006" spans="1:6" hidden="1" x14ac:dyDescent="0.25">
      <c r="A13006" t="s">
        <v>714</v>
      </c>
      <c r="B13006" t="s">
        <v>36</v>
      </c>
      <c r="E13006" s="3">
        <f>HYPERLINK("https://sao.dolgi.msk.ru/account/1404212768/", 1404212768)</f>
        <v>1404212768</v>
      </c>
      <c r="F13006">
        <v>-659.8</v>
      </c>
    </row>
    <row r="13007" spans="1:6" hidden="1" x14ac:dyDescent="0.25">
      <c r="A13007" t="s">
        <v>714</v>
      </c>
      <c r="B13007" t="s">
        <v>37</v>
      </c>
      <c r="E13007" s="3">
        <f>HYPERLINK("https://sao.dolgi.msk.ru/account/1404211554/", 1404211554)</f>
        <v>1404211554</v>
      </c>
      <c r="F13007">
        <v>-771.9</v>
      </c>
    </row>
    <row r="13008" spans="1:6" hidden="1" x14ac:dyDescent="0.25">
      <c r="A13008" t="s">
        <v>714</v>
      </c>
      <c r="B13008" t="s">
        <v>38</v>
      </c>
      <c r="E13008" s="3">
        <f>HYPERLINK("https://sao.dolgi.msk.ru/account/1404212776/", 1404212776)</f>
        <v>1404212776</v>
      </c>
      <c r="F13008">
        <v>-1737.89</v>
      </c>
    </row>
    <row r="13009" spans="1:6" hidden="1" x14ac:dyDescent="0.25">
      <c r="A13009" t="s">
        <v>714</v>
      </c>
      <c r="B13009" t="s">
        <v>39</v>
      </c>
      <c r="E13009" s="3">
        <f>HYPERLINK("https://sao.dolgi.msk.ru/account/1404211941/", 1404211941)</f>
        <v>1404211941</v>
      </c>
      <c r="F13009">
        <v>-684.07</v>
      </c>
    </row>
    <row r="13010" spans="1:6" hidden="1" x14ac:dyDescent="0.25">
      <c r="A13010" t="s">
        <v>714</v>
      </c>
      <c r="B13010" t="s">
        <v>40</v>
      </c>
      <c r="E13010" s="3">
        <f>HYPERLINK("https://sao.dolgi.msk.ru/account/1404212418/", 1404212418)</f>
        <v>1404212418</v>
      </c>
      <c r="F13010">
        <v>-2602.23</v>
      </c>
    </row>
    <row r="13011" spans="1:6" hidden="1" x14ac:dyDescent="0.25">
      <c r="A13011" t="s">
        <v>714</v>
      </c>
      <c r="B13011" t="s">
        <v>41</v>
      </c>
      <c r="E13011" s="3">
        <f>HYPERLINK("https://sao.dolgi.msk.ru/account/1404212784/", 1404212784)</f>
        <v>1404212784</v>
      </c>
      <c r="F13011">
        <v>0</v>
      </c>
    </row>
    <row r="13012" spans="1:6" hidden="1" x14ac:dyDescent="0.25">
      <c r="A13012" t="s">
        <v>714</v>
      </c>
      <c r="B13012" t="s">
        <v>42</v>
      </c>
      <c r="E13012" s="3">
        <f>HYPERLINK("https://sao.dolgi.msk.ru/account/1404211968/", 1404211968)</f>
        <v>1404211968</v>
      </c>
      <c r="F13012">
        <v>0</v>
      </c>
    </row>
    <row r="13013" spans="1:6" hidden="1" x14ac:dyDescent="0.25">
      <c r="A13013" t="s">
        <v>714</v>
      </c>
      <c r="B13013" t="s">
        <v>43</v>
      </c>
      <c r="E13013" s="3">
        <f>HYPERLINK("https://sao.dolgi.msk.ru/account/1404212602/", 1404212602)</f>
        <v>1404212602</v>
      </c>
      <c r="F13013">
        <v>-1672.39</v>
      </c>
    </row>
    <row r="13014" spans="1:6" hidden="1" x14ac:dyDescent="0.25">
      <c r="A13014" t="s">
        <v>714</v>
      </c>
      <c r="B13014" t="s">
        <v>44</v>
      </c>
      <c r="E13014" s="3">
        <f>HYPERLINK("https://sao.dolgi.msk.ru/account/1404211722/", 1404211722)</f>
        <v>1404211722</v>
      </c>
      <c r="F13014">
        <v>0</v>
      </c>
    </row>
    <row r="13015" spans="1:6" hidden="1" x14ac:dyDescent="0.25">
      <c r="A13015" t="s">
        <v>714</v>
      </c>
      <c r="B13015" t="s">
        <v>45</v>
      </c>
      <c r="E13015" s="3">
        <f>HYPERLINK("https://sao.dolgi.msk.ru/account/1404211925/", 1404211925)</f>
        <v>1404211925</v>
      </c>
      <c r="F13015">
        <v>0</v>
      </c>
    </row>
    <row r="13016" spans="1:6" hidden="1" x14ac:dyDescent="0.25">
      <c r="A13016" t="s">
        <v>714</v>
      </c>
      <c r="B13016" t="s">
        <v>46</v>
      </c>
      <c r="E13016" s="3">
        <f>HYPERLINK("https://sao.dolgi.msk.ru/account/1404211749/", 1404211749)</f>
        <v>1404211749</v>
      </c>
      <c r="F13016">
        <v>-1386.62</v>
      </c>
    </row>
    <row r="13017" spans="1:6" hidden="1" x14ac:dyDescent="0.25">
      <c r="A13017" t="s">
        <v>714</v>
      </c>
      <c r="B13017" t="s">
        <v>47</v>
      </c>
      <c r="E13017" s="3">
        <f>HYPERLINK("https://sao.dolgi.msk.ru/account/1404212397/", 1404212397)</f>
        <v>1404212397</v>
      </c>
      <c r="F13017">
        <v>0</v>
      </c>
    </row>
    <row r="13018" spans="1:6" x14ac:dyDescent="0.25">
      <c r="A13018" t="s">
        <v>714</v>
      </c>
      <c r="B13018" t="s">
        <v>48</v>
      </c>
      <c r="C13018" s="5" t="str">
        <f>" кв. "&amp;B13018</f>
        <v xml:space="preserve"> кв. 44</v>
      </c>
      <c r="D13018" s="5" t="str">
        <f>CONCATENATE(A13018,C13018)</f>
        <v>Фестивальная ул., дом 15 к.1 кв. 44</v>
      </c>
      <c r="E13018" s="3">
        <f>HYPERLINK("https://sao.dolgi.msk.ru/account/1404212119/", 1404212119)</f>
        <v>1404212119</v>
      </c>
      <c r="F13018">
        <v>1809.24</v>
      </c>
    </row>
    <row r="13019" spans="1:6" hidden="1" x14ac:dyDescent="0.25">
      <c r="A13019" t="s">
        <v>714</v>
      </c>
      <c r="B13019" t="s">
        <v>49</v>
      </c>
      <c r="E13019" s="3">
        <f>HYPERLINK("https://sao.dolgi.msk.ru/account/1404211757/", 1404211757)</f>
        <v>1404211757</v>
      </c>
      <c r="F13019">
        <v>0</v>
      </c>
    </row>
    <row r="13020" spans="1:6" x14ac:dyDescent="0.25">
      <c r="A13020" t="s">
        <v>714</v>
      </c>
      <c r="B13020" t="s">
        <v>50</v>
      </c>
      <c r="C13020" s="5" t="str">
        <f>" кв. "&amp;B13020</f>
        <v xml:space="preserve"> кв. 46</v>
      </c>
      <c r="D13020" s="5" t="str">
        <f>CONCATENATE(A13020,C13020)</f>
        <v>Фестивальная ул., дом 15 к.1 кв. 46</v>
      </c>
      <c r="E13020" s="3">
        <f>HYPERLINK("https://sao.dolgi.msk.ru/account/1404211669/", 1404211669)</f>
        <v>1404211669</v>
      </c>
      <c r="F13020">
        <v>948.9</v>
      </c>
    </row>
    <row r="13021" spans="1:6" hidden="1" x14ac:dyDescent="0.25">
      <c r="A13021" t="s">
        <v>714</v>
      </c>
      <c r="B13021" t="s">
        <v>51</v>
      </c>
      <c r="E13021" s="3">
        <f>HYPERLINK("https://sao.dolgi.msk.ru/account/1404211677/", 1404211677)</f>
        <v>1404211677</v>
      </c>
      <c r="F13021">
        <v>0</v>
      </c>
    </row>
    <row r="13022" spans="1:6" hidden="1" x14ac:dyDescent="0.25">
      <c r="A13022" t="s">
        <v>714</v>
      </c>
      <c r="B13022" t="s">
        <v>52</v>
      </c>
      <c r="E13022" s="3">
        <f>HYPERLINK("https://sao.dolgi.msk.ru/account/1404211685/", 1404211685)</f>
        <v>1404211685</v>
      </c>
      <c r="F13022">
        <v>-2634.57</v>
      </c>
    </row>
    <row r="13023" spans="1:6" x14ac:dyDescent="0.25">
      <c r="A13023" t="s">
        <v>714</v>
      </c>
      <c r="B13023" t="s">
        <v>53</v>
      </c>
      <c r="C13023" s="5" t="str">
        <f>" кв. "&amp;B13023</f>
        <v xml:space="preserve"> кв. 49</v>
      </c>
      <c r="D13023" s="5" t="str">
        <f>CONCATENATE(A13023,C13023)</f>
        <v>Фестивальная ул., дом 15 к.1 кв. 49</v>
      </c>
      <c r="E13023" s="3">
        <f>HYPERLINK("https://sao.dolgi.msk.ru/account/1404211853/", 1404211853)</f>
        <v>1404211853</v>
      </c>
      <c r="F13023">
        <v>1815.56</v>
      </c>
    </row>
    <row r="13024" spans="1:6" hidden="1" x14ac:dyDescent="0.25">
      <c r="A13024" t="s">
        <v>714</v>
      </c>
      <c r="B13024" t="s">
        <v>54</v>
      </c>
      <c r="E13024" s="3">
        <f>HYPERLINK("https://sao.dolgi.msk.ru/account/1404212012/", 1404212012)</f>
        <v>1404212012</v>
      </c>
      <c r="F13024">
        <v>0</v>
      </c>
    </row>
    <row r="13025" spans="1:6" hidden="1" x14ac:dyDescent="0.25">
      <c r="A13025" t="s">
        <v>714</v>
      </c>
      <c r="B13025" t="s">
        <v>55</v>
      </c>
      <c r="E13025" s="3">
        <f>HYPERLINK("https://sao.dolgi.msk.ru/account/1404212311/", 1404212311)</f>
        <v>1404212311</v>
      </c>
      <c r="F13025">
        <v>-1862.69</v>
      </c>
    </row>
    <row r="13026" spans="1:6" x14ac:dyDescent="0.25">
      <c r="A13026" t="s">
        <v>714</v>
      </c>
      <c r="B13026" t="s">
        <v>56</v>
      </c>
      <c r="C13026" s="5" t="str">
        <f>" кв. "&amp;B13026</f>
        <v xml:space="preserve"> кв. 52</v>
      </c>
      <c r="D13026" s="5" t="str">
        <f>CONCATENATE(A13026,C13026)</f>
        <v>Фестивальная ул., дом 15 к.1 кв. 52</v>
      </c>
      <c r="E13026" s="3">
        <f>HYPERLINK("https://sao.dolgi.msk.ru/account/1404212186/", 1404212186)</f>
        <v>1404212186</v>
      </c>
      <c r="F13026">
        <v>1796.58</v>
      </c>
    </row>
    <row r="13027" spans="1:6" hidden="1" x14ac:dyDescent="0.25">
      <c r="A13027" t="s">
        <v>714</v>
      </c>
      <c r="B13027" t="s">
        <v>57</v>
      </c>
      <c r="E13027" s="3">
        <f>HYPERLINK("https://sao.dolgi.msk.ru/account/1404212637/", 1404212637)</f>
        <v>1404212637</v>
      </c>
      <c r="F13027">
        <v>-1862.7</v>
      </c>
    </row>
    <row r="13028" spans="1:6" hidden="1" x14ac:dyDescent="0.25">
      <c r="A13028" t="s">
        <v>714</v>
      </c>
      <c r="B13028" t="s">
        <v>58</v>
      </c>
      <c r="E13028" s="3">
        <f>HYPERLINK("https://sao.dolgi.msk.ru/account/1404212039/", 1404212039)</f>
        <v>1404212039</v>
      </c>
      <c r="F13028">
        <v>-1372.75</v>
      </c>
    </row>
    <row r="13029" spans="1:6" x14ac:dyDescent="0.25">
      <c r="A13029" t="s">
        <v>714</v>
      </c>
      <c r="B13029" t="s">
        <v>59</v>
      </c>
      <c r="C13029" s="5" t="str">
        <f>" кв. "&amp;B13029</f>
        <v xml:space="preserve"> кв. 55</v>
      </c>
      <c r="D13029" s="5" t="str">
        <f>CONCATENATE(A13029,C13029)</f>
        <v>Фестивальная ул., дом 15 к.1 кв. 55</v>
      </c>
      <c r="E13029" s="3">
        <f>HYPERLINK("https://sao.dolgi.msk.ru/account/1404212645/", 1404212645)</f>
        <v>1404212645</v>
      </c>
      <c r="F13029">
        <v>1281.02</v>
      </c>
    </row>
    <row r="13030" spans="1:6" hidden="1" x14ac:dyDescent="0.25">
      <c r="A13030" t="s">
        <v>714</v>
      </c>
      <c r="B13030" t="s">
        <v>60</v>
      </c>
      <c r="E13030" s="3">
        <f>HYPERLINK("https://sao.dolgi.msk.ru/account/1404212194/", 1404212194)</f>
        <v>1404212194</v>
      </c>
      <c r="F13030">
        <v>0</v>
      </c>
    </row>
    <row r="13031" spans="1:6" hidden="1" x14ac:dyDescent="0.25">
      <c r="A13031" t="s">
        <v>714</v>
      </c>
      <c r="B13031" t="s">
        <v>60</v>
      </c>
      <c r="E13031" s="3">
        <f>HYPERLINK("https://sao.dolgi.msk.ru/account/1404212821/", 1404212821)</f>
        <v>1404212821</v>
      </c>
      <c r="F13031">
        <v>0</v>
      </c>
    </row>
    <row r="13032" spans="1:6" hidden="1" x14ac:dyDescent="0.25">
      <c r="A13032" t="s">
        <v>714</v>
      </c>
      <c r="B13032" t="s">
        <v>61</v>
      </c>
      <c r="E13032" s="3">
        <f>HYPERLINK("https://sao.dolgi.msk.ru/account/1404212207/", 1404212207)</f>
        <v>1404212207</v>
      </c>
      <c r="F13032">
        <v>-2597.61</v>
      </c>
    </row>
    <row r="13033" spans="1:6" x14ac:dyDescent="0.25">
      <c r="A13033" t="s">
        <v>714</v>
      </c>
      <c r="B13033" t="s">
        <v>62</v>
      </c>
      <c r="C13033" s="5" t="str">
        <f t="shared" ref="C13033:C13034" si="524">" кв. "&amp;B13033</f>
        <v xml:space="preserve"> кв. 58</v>
      </c>
      <c r="D13033" s="5" t="str">
        <f>CONCATENATE(A13033,C13033)</f>
        <v>Фестивальная ул., дом 15 к.1 кв. 58</v>
      </c>
      <c r="E13033" s="3">
        <f>HYPERLINK("https://sao.dolgi.msk.ru/account/1404212813/", 1404212813)</f>
        <v>1404212813</v>
      </c>
      <c r="F13033">
        <v>955.23</v>
      </c>
    </row>
    <row r="13034" spans="1:6" x14ac:dyDescent="0.25">
      <c r="A13034" t="s">
        <v>714</v>
      </c>
      <c r="B13034" t="s">
        <v>63</v>
      </c>
      <c r="C13034" s="5" t="str">
        <f t="shared" si="524"/>
        <v xml:space="preserve"> кв. 59</v>
      </c>
      <c r="D13034" s="5" t="str">
        <f>CONCATENATE(A13034,C13034)</f>
        <v>Фестивальная ул., дом 15 к.1 кв. 59</v>
      </c>
      <c r="E13034" s="3">
        <f>HYPERLINK("https://sao.dolgi.msk.ru/account/1404211693/", 1404211693)</f>
        <v>1404211693</v>
      </c>
      <c r="F13034">
        <v>1268.3599999999999</v>
      </c>
    </row>
    <row r="13035" spans="1:6" hidden="1" x14ac:dyDescent="0.25">
      <c r="A13035" t="s">
        <v>714</v>
      </c>
      <c r="B13035" t="s">
        <v>64</v>
      </c>
      <c r="E13035" s="3">
        <f>HYPERLINK("https://sao.dolgi.msk.ru/account/1404211546/", 1404211546)</f>
        <v>1404211546</v>
      </c>
      <c r="F13035">
        <v>-1867.31</v>
      </c>
    </row>
    <row r="13036" spans="1:6" hidden="1" x14ac:dyDescent="0.25">
      <c r="A13036" t="s">
        <v>714</v>
      </c>
      <c r="B13036" t="s">
        <v>65</v>
      </c>
      <c r="E13036" s="3">
        <f>HYPERLINK("https://sao.dolgi.msk.ru/account/1404211861/", 1404211861)</f>
        <v>1404211861</v>
      </c>
      <c r="F13036">
        <v>-2592.98</v>
      </c>
    </row>
    <row r="13037" spans="1:6" hidden="1" x14ac:dyDescent="0.25">
      <c r="A13037" t="s">
        <v>714</v>
      </c>
      <c r="B13037" t="s">
        <v>66</v>
      </c>
      <c r="E13037" s="3">
        <f>HYPERLINK("https://sao.dolgi.msk.ru/account/1404211888/", 1404211888)</f>
        <v>1404211888</v>
      </c>
      <c r="F13037">
        <v>0</v>
      </c>
    </row>
    <row r="13038" spans="1:6" x14ac:dyDescent="0.25">
      <c r="A13038" t="s">
        <v>714</v>
      </c>
      <c r="B13038" t="s">
        <v>67</v>
      </c>
      <c r="C13038" s="5" t="str">
        <f>" кв. "&amp;B13038</f>
        <v xml:space="preserve"> кв. 63</v>
      </c>
      <c r="D13038" s="5" t="str">
        <f>CONCATENATE(A13038,C13038)</f>
        <v>Фестивальная ул., дом 15 к.1 кв. 63</v>
      </c>
      <c r="E13038" s="3">
        <f>HYPERLINK("https://sao.dolgi.msk.ru/account/1404212055/", 1404212055)</f>
        <v>1404212055</v>
      </c>
      <c r="F13038">
        <v>1258.8699999999999</v>
      </c>
    </row>
    <row r="13039" spans="1:6" hidden="1" x14ac:dyDescent="0.25">
      <c r="A13039" t="s">
        <v>714</v>
      </c>
      <c r="B13039" t="s">
        <v>68</v>
      </c>
      <c r="E13039" s="3">
        <f>HYPERLINK("https://sao.dolgi.msk.ru/account/1404212338/", 1404212338)</f>
        <v>1404212338</v>
      </c>
      <c r="F13039">
        <v>-2597.61</v>
      </c>
    </row>
    <row r="13040" spans="1:6" hidden="1" x14ac:dyDescent="0.25">
      <c r="A13040" t="s">
        <v>714</v>
      </c>
      <c r="B13040" t="s">
        <v>69</v>
      </c>
      <c r="E13040" s="3">
        <f>HYPERLINK("https://sao.dolgi.msk.ru/account/1404212653/", 1404212653)</f>
        <v>1404212653</v>
      </c>
      <c r="F13040">
        <v>-2606.85</v>
      </c>
    </row>
    <row r="13041" spans="1:6" hidden="1" x14ac:dyDescent="0.25">
      <c r="A13041" t="s">
        <v>714</v>
      </c>
      <c r="B13041" t="s">
        <v>70</v>
      </c>
      <c r="E13041" s="3">
        <f>HYPERLINK("https://sao.dolgi.msk.ru/account/1404212661/", 1404212661)</f>
        <v>1404212661</v>
      </c>
      <c r="F13041">
        <v>-1377.37</v>
      </c>
    </row>
    <row r="13042" spans="1:6" hidden="1" x14ac:dyDescent="0.25">
      <c r="A13042" t="s">
        <v>714</v>
      </c>
      <c r="B13042" t="s">
        <v>71</v>
      </c>
      <c r="E13042" s="3">
        <f>HYPERLINK("https://sao.dolgi.msk.ru/account/1404212549/", 1404212549)</f>
        <v>1404212549</v>
      </c>
      <c r="F13042">
        <v>-1821.1</v>
      </c>
    </row>
    <row r="13043" spans="1:6" hidden="1" x14ac:dyDescent="0.25">
      <c r="A13043" t="s">
        <v>714</v>
      </c>
      <c r="B13043" t="s">
        <v>72</v>
      </c>
      <c r="E13043" s="3">
        <f>HYPERLINK("https://sao.dolgi.msk.ru/account/1404212717/", 1404212717)</f>
        <v>1404212717</v>
      </c>
      <c r="F13043">
        <v>-1793.42</v>
      </c>
    </row>
    <row r="13044" spans="1:6" x14ac:dyDescent="0.25">
      <c r="A13044" t="s">
        <v>714</v>
      </c>
      <c r="B13044" t="s">
        <v>73</v>
      </c>
      <c r="C13044" s="5" t="str">
        <f>" кв. "&amp;B13044</f>
        <v xml:space="preserve"> кв. 69</v>
      </c>
      <c r="D13044" s="5" t="str">
        <f>CONCATENATE(A13044,C13044)</f>
        <v>Фестивальная ул., дом 15 к.1 кв. 69</v>
      </c>
      <c r="E13044" s="3">
        <f>HYPERLINK("https://sao.dolgi.msk.ru/account/1404212557/", 1404212557)</f>
        <v>1404212557</v>
      </c>
      <c r="F13044">
        <v>1774.44</v>
      </c>
    </row>
    <row r="13045" spans="1:6" hidden="1" x14ac:dyDescent="0.25">
      <c r="A13045" t="s">
        <v>714</v>
      </c>
      <c r="B13045" t="s">
        <v>74</v>
      </c>
      <c r="E13045" s="3">
        <f>HYPERLINK("https://sao.dolgi.msk.ru/account/1404211482/", 1404211482)</f>
        <v>1404211482</v>
      </c>
      <c r="F13045">
        <v>-1195.02</v>
      </c>
    </row>
    <row r="13046" spans="1:6" hidden="1" x14ac:dyDescent="0.25">
      <c r="A13046" t="s">
        <v>714</v>
      </c>
      <c r="B13046" t="s">
        <v>75</v>
      </c>
      <c r="E13046" s="3">
        <f>HYPERLINK("https://sao.dolgi.msk.ru/account/1404212688/", 1404212688)</f>
        <v>1404212688</v>
      </c>
      <c r="F13046">
        <v>-1825.73</v>
      </c>
    </row>
    <row r="13047" spans="1:6" x14ac:dyDescent="0.25">
      <c r="A13047" t="s">
        <v>714</v>
      </c>
      <c r="B13047" t="s">
        <v>76</v>
      </c>
      <c r="C13047" s="5" t="str">
        <f>" кв. "&amp;B13047</f>
        <v xml:space="preserve"> кв. 72</v>
      </c>
      <c r="D13047" s="5" t="str">
        <f>CONCATENATE(A13047,C13047)</f>
        <v>Фестивальная ул., дом 15 к.1 кв. 72</v>
      </c>
      <c r="E13047" s="3">
        <f>HYPERLINK("https://sao.dolgi.msk.ru/account/1404212485/", 1404212485)</f>
        <v>1404212485</v>
      </c>
      <c r="F13047">
        <v>1271.52</v>
      </c>
    </row>
    <row r="13048" spans="1:6" hidden="1" x14ac:dyDescent="0.25">
      <c r="A13048" t="s">
        <v>714</v>
      </c>
      <c r="B13048" t="s">
        <v>77</v>
      </c>
      <c r="E13048" s="3">
        <f>HYPERLINK("https://sao.dolgi.msk.ru/account/1404212493/", 1404212493)</f>
        <v>1404212493</v>
      </c>
      <c r="F13048">
        <v>0</v>
      </c>
    </row>
    <row r="13049" spans="1:6" x14ac:dyDescent="0.25">
      <c r="A13049" t="s">
        <v>714</v>
      </c>
      <c r="B13049" t="s">
        <v>78</v>
      </c>
      <c r="C13049" s="5" t="str">
        <f>" кв. "&amp;B13049</f>
        <v xml:space="preserve"> кв. 74</v>
      </c>
      <c r="D13049" s="5" t="str">
        <f>CONCATENATE(A13049,C13049)</f>
        <v>Фестивальная ул., дом 15 к.1 кв. 74</v>
      </c>
      <c r="E13049" s="3">
        <f>HYPERLINK("https://sao.dolgi.msk.ru/account/1404211896/", 1404211896)</f>
        <v>1404211896</v>
      </c>
      <c r="F13049">
        <v>779.1</v>
      </c>
    </row>
    <row r="13050" spans="1:6" hidden="1" x14ac:dyDescent="0.25">
      <c r="A13050" t="s">
        <v>714</v>
      </c>
      <c r="B13050" t="s">
        <v>79</v>
      </c>
      <c r="E13050" s="3">
        <f>HYPERLINK("https://sao.dolgi.msk.ru/account/1404211503/", 1404211503)</f>
        <v>1404211503</v>
      </c>
      <c r="F13050">
        <v>-1565.55</v>
      </c>
    </row>
    <row r="13051" spans="1:6" hidden="1" x14ac:dyDescent="0.25">
      <c r="A13051" t="s">
        <v>714</v>
      </c>
      <c r="B13051" t="s">
        <v>80</v>
      </c>
      <c r="E13051" s="3">
        <f>HYPERLINK("https://sao.dolgi.msk.ru/account/1404212346/", 1404212346)</f>
        <v>1404212346</v>
      </c>
      <c r="F13051">
        <v>-1405.3</v>
      </c>
    </row>
    <row r="13052" spans="1:6" hidden="1" x14ac:dyDescent="0.25">
      <c r="A13052" t="s">
        <v>714</v>
      </c>
      <c r="B13052" t="s">
        <v>81</v>
      </c>
      <c r="E13052" s="3">
        <f>HYPERLINK("https://sao.dolgi.msk.ru/account/1404212071/", 1404212071)</f>
        <v>1404212071</v>
      </c>
      <c r="F13052">
        <v>-2634.57</v>
      </c>
    </row>
    <row r="13053" spans="1:6" hidden="1" x14ac:dyDescent="0.25">
      <c r="A13053" t="s">
        <v>714</v>
      </c>
      <c r="B13053" t="s">
        <v>82</v>
      </c>
      <c r="E13053" s="3">
        <f>HYPERLINK("https://sao.dolgi.msk.ru/account/1404212696/", 1404212696)</f>
        <v>1404212696</v>
      </c>
      <c r="F13053">
        <v>-1377.37</v>
      </c>
    </row>
    <row r="13054" spans="1:6" hidden="1" x14ac:dyDescent="0.25">
      <c r="A13054" t="s">
        <v>714</v>
      </c>
      <c r="B13054" t="s">
        <v>83</v>
      </c>
      <c r="E13054" s="3">
        <f>HYPERLINK("https://sao.dolgi.msk.ru/account/1404211706/", 1404211706)</f>
        <v>1404211706</v>
      </c>
      <c r="F13054">
        <v>-1238.42</v>
      </c>
    </row>
    <row r="13055" spans="1:6" hidden="1" x14ac:dyDescent="0.25">
      <c r="A13055" t="s">
        <v>714</v>
      </c>
      <c r="B13055" t="s">
        <v>84</v>
      </c>
      <c r="E13055" s="3">
        <f>HYPERLINK("https://sao.dolgi.msk.ru/account/1404212354/", 1404212354)</f>
        <v>1404212354</v>
      </c>
      <c r="F13055">
        <v>-1576.12</v>
      </c>
    </row>
    <row r="13056" spans="1:6" hidden="1" x14ac:dyDescent="0.25">
      <c r="A13056" t="s">
        <v>714</v>
      </c>
      <c r="B13056" t="s">
        <v>85</v>
      </c>
      <c r="E13056" s="3">
        <f>HYPERLINK("https://sao.dolgi.msk.ru/account/1404212362/", 1404212362)</f>
        <v>1404212362</v>
      </c>
      <c r="F13056">
        <v>-1345.29</v>
      </c>
    </row>
    <row r="13057" spans="1:6" hidden="1" x14ac:dyDescent="0.25">
      <c r="A13057" t="s">
        <v>714</v>
      </c>
      <c r="B13057" t="s">
        <v>86</v>
      </c>
      <c r="E13057" s="3">
        <f>HYPERLINK("https://sao.dolgi.msk.ru/account/1404212215/", 1404212215)</f>
        <v>1404212215</v>
      </c>
      <c r="F13057">
        <v>-1368.13</v>
      </c>
    </row>
    <row r="13058" spans="1:6" hidden="1" x14ac:dyDescent="0.25">
      <c r="A13058" t="s">
        <v>714</v>
      </c>
      <c r="B13058" t="s">
        <v>87</v>
      </c>
      <c r="E13058" s="3">
        <f>HYPERLINK("https://sao.dolgi.msk.ru/account/1404212506/", 1404212506)</f>
        <v>1404212506</v>
      </c>
      <c r="F13058">
        <v>0</v>
      </c>
    </row>
    <row r="13059" spans="1:6" hidden="1" x14ac:dyDescent="0.25">
      <c r="A13059" t="s">
        <v>714</v>
      </c>
      <c r="B13059" t="s">
        <v>88</v>
      </c>
      <c r="E13059" s="3">
        <f>HYPERLINK("https://sao.dolgi.msk.ru/account/1404211909/", 1404211909)</f>
        <v>1404211909</v>
      </c>
      <c r="F13059">
        <v>-1319.56</v>
      </c>
    </row>
    <row r="13060" spans="1:6" hidden="1" x14ac:dyDescent="0.25">
      <c r="A13060" t="s">
        <v>714</v>
      </c>
      <c r="B13060" t="s">
        <v>89</v>
      </c>
      <c r="E13060" s="3">
        <f>HYPERLINK("https://sao.dolgi.msk.ru/account/1404211917/", 1404211917)</f>
        <v>1404211917</v>
      </c>
      <c r="F13060">
        <v>-2210.96</v>
      </c>
    </row>
    <row r="13061" spans="1:6" hidden="1" x14ac:dyDescent="0.25">
      <c r="A13061" t="s">
        <v>714</v>
      </c>
      <c r="B13061" t="s">
        <v>90</v>
      </c>
      <c r="E13061" s="3">
        <f>HYPERLINK("https://sao.dolgi.msk.ru/account/1404212098/", 1404212098)</f>
        <v>1404212098</v>
      </c>
      <c r="F13061">
        <v>-1377.37</v>
      </c>
    </row>
    <row r="13062" spans="1:6" hidden="1" x14ac:dyDescent="0.25">
      <c r="A13062" t="s">
        <v>714</v>
      </c>
      <c r="B13062" t="s">
        <v>91</v>
      </c>
      <c r="E13062" s="3">
        <f>HYPERLINK("https://sao.dolgi.msk.ru/account/1404212514/", 1404212514)</f>
        <v>1404212514</v>
      </c>
      <c r="F13062">
        <v>0</v>
      </c>
    </row>
    <row r="13063" spans="1:6" hidden="1" x14ac:dyDescent="0.25">
      <c r="A13063" t="s">
        <v>714</v>
      </c>
      <c r="B13063" t="s">
        <v>92</v>
      </c>
      <c r="E13063" s="3">
        <f>HYPERLINK("https://sao.dolgi.msk.ru/account/1404212522/", 1404212522)</f>
        <v>1404212522</v>
      </c>
      <c r="F13063">
        <v>-1594.62</v>
      </c>
    </row>
    <row r="13064" spans="1:6" hidden="1" x14ac:dyDescent="0.25">
      <c r="A13064" t="s">
        <v>714</v>
      </c>
      <c r="B13064" t="s">
        <v>93</v>
      </c>
      <c r="E13064" s="3">
        <f>HYPERLINK("https://sao.dolgi.msk.ru/account/1404212223/", 1404212223)</f>
        <v>1404212223</v>
      </c>
      <c r="F13064">
        <v>0</v>
      </c>
    </row>
    <row r="13065" spans="1:6" x14ac:dyDescent="0.25">
      <c r="A13065" t="s">
        <v>714</v>
      </c>
      <c r="B13065" t="s">
        <v>94</v>
      </c>
      <c r="C13065" s="5" t="str">
        <f>" кв. "&amp;B13065</f>
        <v xml:space="preserve"> кв. 90</v>
      </c>
      <c r="D13065" s="5" t="str">
        <f>CONCATENATE(A13065,C13065)</f>
        <v>Фестивальная ул., дом 15 к.1 кв. 90</v>
      </c>
      <c r="E13065" s="3">
        <f>HYPERLINK("https://sao.dolgi.msk.ru/account/1404211714/", 1404211714)</f>
        <v>1404211714</v>
      </c>
      <c r="F13065">
        <v>929.92</v>
      </c>
    </row>
    <row r="13066" spans="1:6" hidden="1" x14ac:dyDescent="0.25">
      <c r="A13066" t="s">
        <v>714</v>
      </c>
      <c r="B13066" t="s">
        <v>95</v>
      </c>
      <c r="E13066" s="3">
        <f>HYPERLINK("https://sao.dolgi.msk.ru/account/1404212143/", 1404212143)</f>
        <v>1404212143</v>
      </c>
      <c r="F13066">
        <v>-1747.13</v>
      </c>
    </row>
    <row r="13067" spans="1:6" hidden="1" x14ac:dyDescent="0.25">
      <c r="A13067" t="s">
        <v>714</v>
      </c>
      <c r="B13067" t="s">
        <v>96</v>
      </c>
      <c r="E13067" s="3">
        <f>HYPERLINK("https://sao.dolgi.msk.ru/account/1404212629/", 1404212629)</f>
        <v>1404212629</v>
      </c>
      <c r="F13067">
        <v>-813.48</v>
      </c>
    </row>
    <row r="13068" spans="1:6" x14ac:dyDescent="0.25">
      <c r="A13068" t="s">
        <v>714</v>
      </c>
      <c r="B13068" t="s">
        <v>97</v>
      </c>
      <c r="C13068" s="5" t="str">
        <f>" кв. "&amp;B13068</f>
        <v xml:space="preserve"> кв. 93</v>
      </c>
      <c r="D13068" s="5" t="str">
        <f>CONCATENATE(A13068,C13068)</f>
        <v>Фестивальная ул., дом 15 к.1 кв. 93</v>
      </c>
      <c r="E13068" s="3">
        <f>HYPERLINK("https://sao.dolgi.msk.ru/account/1404211829/", 1404211829)</f>
        <v>1404211829</v>
      </c>
      <c r="F13068">
        <v>1796.58</v>
      </c>
    </row>
    <row r="13069" spans="1:6" hidden="1" x14ac:dyDescent="0.25">
      <c r="A13069" t="s">
        <v>714</v>
      </c>
      <c r="B13069" t="s">
        <v>98</v>
      </c>
      <c r="E13069" s="3">
        <f>HYPERLINK("https://sao.dolgi.msk.ru/account/1404211837/", 1404211837)</f>
        <v>1404211837</v>
      </c>
      <c r="F13069">
        <v>-686.36</v>
      </c>
    </row>
    <row r="13070" spans="1:6" x14ac:dyDescent="0.25">
      <c r="A13070" t="s">
        <v>714</v>
      </c>
      <c r="B13070" t="s">
        <v>99</v>
      </c>
      <c r="C13070" s="5" t="str">
        <f>" кв. "&amp;B13070</f>
        <v xml:space="preserve"> кв. 95</v>
      </c>
      <c r="D13070" s="5" t="str">
        <f>CONCATENATE(A13070,C13070)</f>
        <v>Фестивальная ул., дом 15 к.1 кв. 95</v>
      </c>
      <c r="E13070" s="3">
        <f>HYPERLINK("https://sao.dolgi.msk.ru/account/1404211845/", 1404211845)</f>
        <v>1404211845</v>
      </c>
      <c r="F13070">
        <v>1205.0999999999999</v>
      </c>
    </row>
    <row r="13071" spans="1:6" hidden="1" x14ac:dyDescent="0.25">
      <c r="A13071" t="s">
        <v>714</v>
      </c>
      <c r="B13071" t="s">
        <v>100</v>
      </c>
      <c r="E13071" s="3">
        <f>HYPERLINK("https://sao.dolgi.msk.ru/account/1404211642/", 1404211642)</f>
        <v>1404211642</v>
      </c>
      <c r="F13071">
        <v>-2872</v>
      </c>
    </row>
    <row r="13072" spans="1:6" hidden="1" x14ac:dyDescent="0.25">
      <c r="A13072" t="s">
        <v>714</v>
      </c>
      <c r="B13072" t="s">
        <v>101</v>
      </c>
      <c r="E13072" s="3">
        <f>HYPERLINK("https://sao.dolgi.msk.ru/account/1404212805/", 1404212805)</f>
        <v>1404212805</v>
      </c>
      <c r="F13072">
        <v>-2620.7199999999998</v>
      </c>
    </row>
    <row r="13073" spans="1:6" x14ac:dyDescent="0.25">
      <c r="A13073" t="s">
        <v>714</v>
      </c>
      <c r="B13073" t="s">
        <v>102</v>
      </c>
      <c r="C13073" s="5" t="str">
        <f>" кв. "&amp;B13073</f>
        <v xml:space="preserve"> кв. 98</v>
      </c>
      <c r="D13073" s="5" t="str">
        <f>CONCATENATE(A13073,C13073)</f>
        <v>Фестивальная ул., дом 15 к.1 кв. 98</v>
      </c>
      <c r="E13073" s="3">
        <f>HYPERLINK("https://sao.dolgi.msk.ru/account/1404212151/", 1404212151)</f>
        <v>1404212151</v>
      </c>
      <c r="F13073">
        <v>942.57</v>
      </c>
    </row>
    <row r="13074" spans="1:6" hidden="1" x14ac:dyDescent="0.25">
      <c r="A13074" t="s">
        <v>714</v>
      </c>
      <c r="B13074" t="s">
        <v>103</v>
      </c>
      <c r="E13074" s="3">
        <f>HYPERLINK("https://sao.dolgi.msk.ru/account/1404212477/", 1404212477)</f>
        <v>1404212477</v>
      </c>
      <c r="F13074">
        <v>0</v>
      </c>
    </row>
    <row r="13075" spans="1:6" x14ac:dyDescent="0.25">
      <c r="A13075" t="s">
        <v>714</v>
      </c>
      <c r="B13075" t="s">
        <v>104</v>
      </c>
      <c r="C13075" s="5" t="str">
        <f t="shared" ref="C13075:C13077" si="525">" кв. "&amp;B13075</f>
        <v xml:space="preserve"> кв. 100</v>
      </c>
      <c r="D13075" s="5" t="str">
        <f>CONCATENATE(A13075,C13075)</f>
        <v>Фестивальная ул., дом 15 к.1 кв. 100</v>
      </c>
      <c r="E13075" s="3">
        <f>HYPERLINK("https://sao.dolgi.msk.ru/account/1404211511/", 1404211511)</f>
        <v>1404211511</v>
      </c>
      <c r="F13075">
        <v>1065.93</v>
      </c>
    </row>
    <row r="13076" spans="1:6" x14ac:dyDescent="0.25">
      <c r="A13076" t="s">
        <v>714</v>
      </c>
      <c r="B13076" t="s">
        <v>105</v>
      </c>
      <c r="C13076" s="5" t="str">
        <f t="shared" si="525"/>
        <v xml:space="preserve"> кв. 101</v>
      </c>
      <c r="D13076" s="5" t="str">
        <f>CONCATENATE(A13076,C13076)</f>
        <v>Фестивальная ул., дом 15 к.1 кв. 101</v>
      </c>
      <c r="E13076" s="3">
        <f>HYPERLINK("https://sao.dolgi.msk.ru/account/1404212733/", 1404212733)</f>
        <v>1404212733</v>
      </c>
      <c r="F13076">
        <v>1787.1</v>
      </c>
    </row>
    <row r="13077" spans="1:6" x14ac:dyDescent="0.25">
      <c r="A13077" t="s">
        <v>714</v>
      </c>
      <c r="B13077" t="s">
        <v>106</v>
      </c>
      <c r="C13077" s="5" t="str">
        <f t="shared" si="525"/>
        <v xml:space="preserve"> кв. 102</v>
      </c>
      <c r="D13077" s="5" t="str">
        <f>CONCATENATE(A13077,C13077)</f>
        <v>Фестивальная ул., дом 15 к.1 кв. 102</v>
      </c>
      <c r="E13077" s="3">
        <f>HYPERLINK("https://sao.dolgi.msk.ru/account/1404211933/", 1404211933)</f>
        <v>1404211933</v>
      </c>
      <c r="F13077">
        <v>945.74</v>
      </c>
    </row>
    <row r="13078" spans="1:6" hidden="1" x14ac:dyDescent="0.25">
      <c r="A13078" t="s">
        <v>714</v>
      </c>
      <c r="B13078" t="s">
        <v>107</v>
      </c>
      <c r="E13078" s="3">
        <f>HYPERLINK("https://sao.dolgi.msk.ru/account/1404212741/", 1404212741)</f>
        <v>1404212741</v>
      </c>
      <c r="F13078">
        <v>0</v>
      </c>
    </row>
    <row r="13079" spans="1:6" hidden="1" x14ac:dyDescent="0.25">
      <c r="A13079" t="s">
        <v>714</v>
      </c>
      <c r="B13079" t="s">
        <v>108</v>
      </c>
      <c r="E13079" s="3">
        <f>HYPERLINK("https://sao.dolgi.msk.ru/account/1404212573/", 1404212573)</f>
        <v>1404212573</v>
      </c>
      <c r="F13079">
        <v>-1562.25</v>
      </c>
    </row>
    <row r="13080" spans="1:6" hidden="1" x14ac:dyDescent="0.25">
      <c r="A13080" t="s">
        <v>714</v>
      </c>
      <c r="B13080" t="s">
        <v>109</v>
      </c>
      <c r="E13080" s="3">
        <f>HYPERLINK("https://sao.dolgi.msk.ru/account/1404211765/", 1404211765)</f>
        <v>1404211765</v>
      </c>
      <c r="F13080">
        <v>-2191.5100000000002</v>
      </c>
    </row>
    <row r="13081" spans="1:6" hidden="1" x14ac:dyDescent="0.25">
      <c r="A13081" t="s">
        <v>714</v>
      </c>
      <c r="B13081" t="s">
        <v>110</v>
      </c>
      <c r="E13081" s="3">
        <f>HYPERLINK("https://sao.dolgi.msk.ru/account/1404212127/", 1404212127)</f>
        <v>1404212127</v>
      </c>
      <c r="F13081">
        <v>-1368.13</v>
      </c>
    </row>
    <row r="13082" spans="1:6" x14ac:dyDescent="0.25">
      <c r="A13082" t="s">
        <v>714</v>
      </c>
      <c r="B13082" t="s">
        <v>111</v>
      </c>
      <c r="C13082" s="5" t="str">
        <f t="shared" ref="C13082:C13083" si="526">" кв. "&amp;B13082</f>
        <v xml:space="preserve"> кв. 107</v>
      </c>
      <c r="D13082" s="5" t="str">
        <f>CONCATENATE(A13082,C13082)</f>
        <v>Фестивальная ул., дом 15 к.1 кв. 107</v>
      </c>
      <c r="E13082" s="3">
        <f>HYPERLINK("https://sao.dolgi.msk.ru/account/1404212581/", 1404212581)</f>
        <v>1404212581</v>
      </c>
      <c r="F13082">
        <v>673.71</v>
      </c>
    </row>
    <row r="13083" spans="1:6" x14ac:dyDescent="0.25">
      <c r="A13083" t="s">
        <v>714</v>
      </c>
      <c r="B13083" t="s">
        <v>112</v>
      </c>
      <c r="C13083" s="5" t="str">
        <f t="shared" si="526"/>
        <v xml:space="preserve"> кв. 108</v>
      </c>
      <c r="D13083" s="5" t="str">
        <f>CONCATENATE(A13083,C13083)</f>
        <v>Фестивальная ул., дом 15 к.1 кв. 108</v>
      </c>
      <c r="E13083" s="3">
        <f>HYPERLINK("https://sao.dolgi.msk.ru/account/1404211538/", 1404211538)</f>
        <v>1404211538</v>
      </c>
      <c r="F13083">
        <v>1065.93</v>
      </c>
    </row>
    <row r="13084" spans="1:6" hidden="1" x14ac:dyDescent="0.25">
      <c r="A13084" t="s">
        <v>715</v>
      </c>
      <c r="B13084" t="s">
        <v>5</v>
      </c>
      <c r="E13084" s="3">
        <f>HYPERLINK("https://sao.dolgi.msk.ru/account/1404213402/", 1404213402)</f>
        <v>1404213402</v>
      </c>
      <c r="F13084">
        <v>-1545</v>
      </c>
    </row>
    <row r="13085" spans="1:6" hidden="1" x14ac:dyDescent="0.25">
      <c r="A13085" t="s">
        <v>715</v>
      </c>
      <c r="B13085" t="s">
        <v>7</v>
      </c>
      <c r="E13085" s="3">
        <f>HYPERLINK("https://sao.dolgi.msk.ru/account/1404214114/", 1404214114)</f>
        <v>1404214114</v>
      </c>
      <c r="F13085">
        <v>0</v>
      </c>
    </row>
    <row r="13086" spans="1:6" hidden="1" x14ac:dyDescent="0.25">
      <c r="A13086" t="s">
        <v>715</v>
      </c>
      <c r="B13086" t="s">
        <v>8</v>
      </c>
      <c r="E13086" s="3">
        <f>HYPERLINK("https://sao.dolgi.msk.ru/account/1404213314/", 1404213314)</f>
        <v>1404213314</v>
      </c>
      <c r="F13086">
        <v>-2703.92</v>
      </c>
    </row>
    <row r="13087" spans="1:6" x14ac:dyDescent="0.25">
      <c r="A13087" t="s">
        <v>715</v>
      </c>
      <c r="B13087" t="s">
        <v>9</v>
      </c>
      <c r="C13087" s="5" t="str">
        <f t="shared" ref="C13087:C13088" si="527">" кв. "&amp;B13087</f>
        <v xml:space="preserve"> кв. 5</v>
      </c>
      <c r="D13087" s="5" t="str">
        <f>CONCATENATE(A13087,C13087)</f>
        <v>Фестивальная ул., дом 17 к.1 кв. 5</v>
      </c>
      <c r="E13087" s="3">
        <f>HYPERLINK("https://sao.dolgi.msk.ru/account/1404213154/", 1404213154)</f>
        <v>1404213154</v>
      </c>
      <c r="F13087">
        <v>667.39</v>
      </c>
    </row>
    <row r="13088" spans="1:6" x14ac:dyDescent="0.25">
      <c r="A13088" t="s">
        <v>715</v>
      </c>
      <c r="B13088" t="s">
        <v>10</v>
      </c>
      <c r="C13088" s="5" t="str">
        <f t="shared" si="527"/>
        <v xml:space="preserve"> кв. 6</v>
      </c>
      <c r="D13088" s="5" t="str">
        <f>CONCATENATE(A13088,C13088)</f>
        <v>Фестивальная ул., дом 17 к.1 кв. 6</v>
      </c>
      <c r="E13088" s="3">
        <f>HYPERLINK("https://sao.dolgi.msk.ru/account/1404213429/", 1404213429)</f>
        <v>1404213429</v>
      </c>
      <c r="F13088">
        <v>1182.96</v>
      </c>
    </row>
    <row r="13089" spans="1:6" hidden="1" x14ac:dyDescent="0.25">
      <c r="A13089" t="s">
        <v>715</v>
      </c>
      <c r="B13089" t="s">
        <v>11</v>
      </c>
      <c r="E13089" s="3">
        <f>HYPERLINK("https://sao.dolgi.msk.ru/account/1404214421/", 1404214421)</f>
        <v>1404214421</v>
      </c>
      <c r="F13089">
        <v>-2713.16</v>
      </c>
    </row>
    <row r="13090" spans="1:6" x14ac:dyDescent="0.25">
      <c r="A13090" t="s">
        <v>715</v>
      </c>
      <c r="B13090" t="s">
        <v>12</v>
      </c>
      <c r="C13090" s="5" t="str">
        <f>" кв. "&amp;B13090</f>
        <v xml:space="preserve"> кв. 8</v>
      </c>
      <c r="D13090" s="5" t="str">
        <f>CONCATENATE(A13090,C13090)</f>
        <v>Фестивальная ул., дом 17 к.1 кв. 8</v>
      </c>
      <c r="E13090" s="3">
        <f>HYPERLINK("https://sao.dolgi.msk.ru/account/1404212944/", 1404212944)</f>
        <v>1404212944</v>
      </c>
      <c r="F13090">
        <v>2720.18</v>
      </c>
    </row>
    <row r="13091" spans="1:6" hidden="1" x14ac:dyDescent="0.25">
      <c r="A13091" t="s">
        <v>715</v>
      </c>
      <c r="B13091" t="s">
        <v>13</v>
      </c>
      <c r="E13091" s="3">
        <f>HYPERLINK("https://sao.dolgi.msk.ru/account/1404213824/", 1404213824)</f>
        <v>1404213824</v>
      </c>
      <c r="F13091">
        <v>-3961.11</v>
      </c>
    </row>
    <row r="13092" spans="1:6" x14ac:dyDescent="0.25">
      <c r="A13092" t="s">
        <v>715</v>
      </c>
      <c r="B13092" t="s">
        <v>14</v>
      </c>
      <c r="C13092" s="5" t="str">
        <f t="shared" ref="C13092:C13093" si="528">" кв. "&amp;B13092</f>
        <v xml:space="preserve"> кв. 10</v>
      </c>
      <c r="D13092" s="5" t="str">
        <f>CONCATENATE(A13092,C13092)</f>
        <v>Фестивальная ул., дом 17 к.1 кв. 10</v>
      </c>
      <c r="E13092" s="3">
        <f>HYPERLINK("https://sao.dolgi.msk.ru/account/1404213162/", 1404213162)</f>
        <v>1404213162</v>
      </c>
      <c r="F13092">
        <v>1844.03</v>
      </c>
    </row>
    <row r="13093" spans="1:6" x14ac:dyDescent="0.25">
      <c r="A13093" t="s">
        <v>715</v>
      </c>
      <c r="B13093" t="s">
        <v>15</v>
      </c>
      <c r="C13093" s="5" t="str">
        <f t="shared" si="528"/>
        <v xml:space="preserve"> кв. 11</v>
      </c>
      <c r="D13093" s="5" t="str">
        <f>CONCATENATE(A13093,C13093)</f>
        <v>Фестивальная ул., дом 17 к.1 кв. 11</v>
      </c>
      <c r="E13093" s="3">
        <f>HYPERLINK("https://sao.dolgi.msk.ru/account/1404214122/", 1404214122)</f>
        <v>1404214122</v>
      </c>
      <c r="F13093">
        <v>1195.6099999999999</v>
      </c>
    </row>
    <row r="13094" spans="1:6" hidden="1" x14ac:dyDescent="0.25">
      <c r="A13094" t="s">
        <v>715</v>
      </c>
      <c r="B13094" t="s">
        <v>16</v>
      </c>
      <c r="E13094" s="3">
        <f>HYPERLINK("https://sao.dolgi.msk.ru/account/1404213656/", 1404213656)</f>
        <v>1404213656</v>
      </c>
      <c r="F13094">
        <v>-3372.65</v>
      </c>
    </row>
    <row r="13095" spans="1:6" hidden="1" x14ac:dyDescent="0.25">
      <c r="A13095" t="s">
        <v>715</v>
      </c>
      <c r="B13095" t="s">
        <v>17</v>
      </c>
      <c r="E13095" s="3">
        <f>HYPERLINK("https://sao.dolgi.msk.ru/account/1404214448/", 1404214448)</f>
        <v>1404214448</v>
      </c>
      <c r="F13095">
        <v>-2722.41</v>
      </c>
    </row>
    <row r="13096" spans="1:6" x14ac:dyDescent="0.25">
      <c r="A13096" t="s">
        <v>715</v>
      </c>
      <c r="B13096" t="s">
        <v>18</v>
      </c>
      <c r="C13096" s="5" t="str">
        <f t="shared" ref="C13096:C13097" si="529">" кв. "&amp;B13096</f>
        <v xml:space="preserve"> кв. 14</v>
      </c>
      <c r="D13096" s="5" t="str">
        <f>CONCATENATE(A13096,C13096)</f>
        <v>Фестивальная ул., дом 17 к.1 кв. 14</v>
      </c>
      <c r="E13096" s="3">
        <f>HYPERLINK("https://sao.dolgi.msk.ru/account/1404214229/", 1404214229)</f>
        <v>1404214229</v>
      </c>
      <c r="F13096">
        <v>2717.02</v>
      </c>
    </row>
    <row r="13097" spans="1:6" x14ac:dyDescent="0.25">
      <c r="A13097" t="s">
        <v>715</v>
      </c>
      <c r="B13097" t="s">
        <v>19</v>
      </c>
      <c r="C13097" s="5" t="str">
        <f t="shared" si="529"/>
        <v xml:space="preserve"> кв. 15</v>
      </c>
      <c r="D13097" s="5" t="str">
        <f>CONCATENATE(A13097,C13097)</f>
        <v>Фестивальная ул., дом 17 к.1 кв. 15</v>
      </c>
      <c r="E13097" s="3">
        <f>HYPERLINK("https://sao.dolgi.msk.ru/account/1404213699/", 1404213699)</f>
        <v>1404213699</v>
      </c>
      <c r="F13097">
        <v>2717.02</v>
      </c>
    </row>
    <row r="13098" spans="1:6" hidden="1" x14ac:dyDescent="0.25">
      <c r="A13098" t="s">
        <v>715</v>
      </c>
      <c r="B13098" t="s">
        <v>20</v>
      </c>
      <c r="E13098" s="3">
        <f>HYPERLINK("https://sao.dolgi.msk.ru/account/1404213242/", 1404213242)</f>
        <v>1404213242</v>
      </c>
      <c r="F13098">
        <v>0</v>
      </c>
    </row>
    <row r="13099" spans="1:6" hidden="1" x14ac:dyDescent="0.25">
      <c r="A13099" t="s">
        <v>715</v>
      </c>
      <c r="B13099" t="s">
        <v>21</v>
      </c>
      <c r="E13099" s="3">
        <f>HYPERLINK("https://sao.dolgi.msk.ru/account/1404213592/", 1404213592)</f>
        <v>1404213592</v>
      </c>
      <c r="F13099">
        <v>0</v>
      </c>
    </row>
    <row r="13100" spans="1:6" hidden="1" x14ac:dyDescent="0.25">
      <c r="A13100" t="s">
        <v>715</v>
      </c>
      <c r="B13100" t="s">
        <v>22</v>
      </c>
      <c r="E13100" s="3">
        <f>HYPERLINK("https://sao.dolgi.msk.ru/account/1404214018/", 1404214018)</f>
        <v>1404214018</v>
      </c>
      <c r="F13100">
        <v>-548.6</v>
      </c>
    </row>
    <row r="13101" spans="1:6" hidden="1" x14ac:dyDescent="0.25">
      <c r="A13101" t="s">
        <v>715</v>
      </c>
      <c r="B13101" t="s">
        <v>23</v>
      </c>
      <c r="E13101" s="3">
        <f>HYPERLINK("https://sao.dolgi.msk.ru/account/1404213496/", 1404213496)</f>
        <v>1404213496</v>
      </c>
      <c r="F13101">
        <v>0</v>
      </c>
    </row>
    <row r="13102" spans="1:6" hidden="1" x14ac:dyDescent="0.25">
      <c r="A13102" t="s">
        <v>715</v>
      </c>
      <c r="B13102" t="s">
        <v>24</v>
      </c>
      <c r="E13102" s="3">
        <f>HYPERLINK("https://sao.dolgi.msk.ru/account/1404212995/", 1404212995)</f>
        <v>1404212995</v>
      </c>
      <c r="F13102">
        <v>-3961.11</v>
      </c>
    </row>
    <row r="13103" spans="1:6" hidden="1" x14ac:dyDescent="0.25">
      <c r="A13103" t="s">
        <v>715</v>
      </c>
      <c r="B13103" t="s">
        <v>25</v>
      </c>
      <c r="E13103" s="3">
        <f>HYPERLINK("https://sao.dolgi.msk.ru/account/1404213197/", 1404213197)</f>
        <v>1404213197</v>
      </c>
      <c r="F13103">
        <v>0</v>
      </c>
    </row>
    <row r="13104" spans="1:6" hidden="1" x14ac:dyDescent="0.25">
      <c r="A13104" t="s">
        <v>715</v>
      </c>
      <c r="B13104" t="s">
        <v>26</v>
      </c>
      <c r="E13104" s="3">
        <f>HYPERLINK("https://sao.dolgi.msk.ru/account/1404213509/", 1404213509)</f>
        <v>1404213509</v>
      </c>
      <c r="F13104">
        <v>-2703.92</v>
      </c>
    </row>
    <row r="13105" spans="1:6" x14ac:dyDescent="0.25">
      <c r="A13105" t="s">
        <v>715</v>
      </c>
      <c r="B13105" t="s">
        <v>27</v>
      </c>
      <c r="C13105" s="5" t="str">
        <f t="shared" ref="C13105:C13106" si="530">" кв. "&amp;B13105</f>
        <v xml:space="preserve"> кв. 23</v>
      </c>
      <c r="D13105" s="5" t="str">
        <f>CONCATENATE(A13105,C13105)</f>
        <v>Фестивальная ул., дом 17 к.1 кв. 23</v>
      </c>
      <c r="E13105" s="3">
        <f>HYPERLINK("https://sao.dolgi.msk.ru/account/1404213912/", 1404213912)</f>
        <v>1404213912</v>
      </c>
      <c r="F13105">
        <v>1252.55</v>
      </c>
    </row>
    <row r="13106" spans="1:6" x14ac:dyDescent="0.25">
      <c r="A13106" t="s">
        <v>715</v>
      </c>
      <c r="B13106" t="s">
        <v>28</v>
      </c>
      <c r="C13106" s="5" t="str">
        <f t="shared" si="530"/>
        <v xml:space="preserve"> кв. 24</v>
      </c>
      <c r="D13106" s="5" t="str">
        <f>CONCATENATE(A13106,C13106)</f>
        <v>Фестивальная ул., дом 17 к.1 кв. 24</v>
      </c>
      <c r="E13106" s="3">
        <f>HYPERLINK("https://sao.dolgi.msk.ru/account/1404214341/", 1404214341)</f>
        <v>1404214341</v>
      </c>
      <c r="F13106">
        <v>1258.8699999999999</v>
      </c>
    </row>
    <row r="13107" spans="1:6" hidden="1" x14ac:dyDescent="0.25">
      <c r="A13107" t="s">
        <v>715</v>
      </c>
      <c r="B13107" t="s">
        <v>29</v>
      </c>
      <c r="E13107" s="3">
        <f>HYPERLINK("https://sao.dolgi.msk.ru/account/1404214288/", 1404214288)</f>
        <v>1404214288</v>
      </c>
      <c r="F13107">
        <v>-2713.16</v>
      </c>
    </row>
    <row r="13108" spans="1:6" x14ac:dyDescent="0.25">
      <c r="A13108" t="s">
        <v>715</v>
      </c>
      <c r="B13108" t="s">
        <v>30</v>
      </c>
      <c r="C13108" s="5" t="str">
        <f>" кв. "&amp;B13108</f>
        <v xml:space="preserve"> кв. 26</v>
      </c>
      <c r="D13108" s="5" t="str">
        <f>CONCATENATE(A13108,C13108)</f>
        <v>Фестивальная ул., дом 17 к.1 кв. 26</v>
      </c>
      <c r="E13108" s="3">
        <f>HYPERLINK("https://sao.dolgi.msk.ru/account/1404214499/", 1404214499)</f>
        <v>1404214499</v>
      </c>
      <c r="F13108">
        <v>2761.3</v>
      </c>
    </row>
    <row r="13109" spans="1:6" hidden="1" x14ac:dyDescent="0.25">
      <c r="A13109" t="s">
        <v>715</v>
      </c>
      <c r="B13109" t="s">
        <v>31</v>
      </c>
      <c r="E13109" s="3">
        <f>HYPERLINK("https://sao.dolgi.msk.ru/account/1404213859/", 1404213859)</f>
        <v>1404213859</v>
      </c>
      <c r="F13109">
        <v>-3249.32</v>
      </c>
    </row>
    <row r="13110" spans="1:6" hidden="1" x14ac:dyDescent="0.25">
      <c r="A13110" t="s">
        <v>715</v>
      </c>
      <c r="B13110" t="s">
        <v>32</v>
      </c>
      <c r="E13110" s="3">
        <f>HYPERLINK("https://sao.dolgi.msk.ru/account/1404214528/", 1404214528)</f>
        <v>1404214528</v>
      </c>
      <c r="F13110">
        <v>-2703.92</v>
      </c>
    </row>
    <row r="13111" spans="1:6" x14ac:dyDescent="0.25">
      <c r="A13111" t="s">
        <v>715</v>
      </c>
      <c r="B13111" t="s">
        <v>33</v>
      </c>
      <c r="C13111" s="5" t="str">
        <f>" кв. "&amp;B13111</f>
        <v xml:space="preserve"> кв. 29</v>
      </c>
      <c r="D13111" s="5" t="str">
        <f>CONCATENATE(A13111,C13111)</f>
        <v>Фестивальная ул., дом 17 к.1 кв. 29</v>
      </c>
      <c r="E13111" s="3">
        <f>HYPERLINK("https://sao.dolgi.msk.ru/account/1404213605/", 1404213605)</f>
        <v>1404213605</v>
      </c>
      <c r="F13111">
        <v>1252.55</v>
      </c>
    </row>
    <row r="13112" spans="1:6" hidden="1" x14ac:dyDescent="0.25">
      <c r="A13112" t="s">
        <v>715</v>
      </c>
      <c r="B13112" t="s">
        <v>34</v>
      </c>
      <c r="E13112" s="3">
        <f>HYPERLINK("https://sao.dolgi.msk.ru/account/1404213613/", 1404213613)</f>
        <v>1404213613</v>
      </c>
      <c r="F13112">
        <v>-1834.97</v>
      </c>
    </row>
    <row r="13113" spans="1:6" x14ac:dyDescent="0.25">
      <c r="A13113" t="s">
        <v>715</v>
      </c>
      <c r="B13113" t="s">
        <v>35</v>
      </c>
      <c r="C13113" s="5" t="str">
        <f t="shared" ref="C13113:C13115" si="531">" кв. "&amp;B13113</f>
        <v xml:space="preserve"> кв. 31</v>
      </c>
      <c r="D13113" s="5" t="str">
        <f>CONCATENATE(A13113,C13113)</f>
        <v>Фестивальная ул., дом 17 к.1 кв. 31</v>
      </c>
      <c r="E13113" s="3">
        <f>HYPERLINK("https://sao.dolgi.msk.ru/account/1404212952/", 1404212952)</f>
        <v>1404212952</v>
      </c>
      <c r="F13113">
        <v>1859.84</v>
      </c>
    </row>
    <row r="13114" spans="1:6" x14ac:dyDescent="0.25">
      <c r="A13114" t="s">
        <v>715</v>
      </c>
      <c r="B13114" t="s">
        <v>36</v>
      </c>
      <c r="C13114" s="5" t="str">
        <f t="shared" si="531"/>
        <v xml:space="preserve"> кв. 32</v>
      </c>
      <c r="D13114" s="5" t="str">
        <f>CONCATENATE(A13114,C13114)</f>
        <v>Фестивальная ул., дом 17 к.1 кв. 32</v>
      </c>
      <c r="E13114" s="3">
        <f>HYPERLINK("https://sao.dolgi.msk.ru/account/1404213875/", 1404213875)</f>
        <v>1404213875</v>
      </c>
      <c r="F13114">
        <v>2751.81</v>
      </c>
    </row>
    <row r="13115" spans="1:6" x14ac:dyDescent="0.25">
      <c r="A13115" t="s">
        <v>715</v>
      </c>
      <c r="B13115" t="s">
        <v>37</v>
      </c>
      <c r="C13115" s="5" t="str">
        <f t="shared" si="531"/>
        <v xml:space="preserve"> кв. 33</v>
      </c>
      <c r="D13115" s="5" t="str">
        <f>CONCATENATE(A13115,C13115)</f>
        <v>Фестивальная ул., дом 17 к.1 кв. 33</v>
      </c>
      <c r="E13115" s="3">
        <f>HYPERLINK("https://sao.dolgi.msk.ru/account/1404214069/", 1404214069)</f>
        <v>1404214069</v>
      </c>
      <c r="F13115">
        <v>2761.3</v>
      </c>
    </row>
    <row r="13116" spans="1:6" hidden="1" x14ac:dyDescent="0.25">
      <c r="A13116" t="s">
        <v>715</v>
      </c>
      <c r="B13116" t="s">
        <v>38</v>
      </c>
      <c r="E13116" s="3">
        <f>HYPERLINK("https://sao.dolgi.msk.ru/account/1404214077/", 1404214077)</f>
        <v>1404214077</v>
      </c>
      <c r="F13116">
        <v>-2694.67</v>
      </c>
    </row>
    <row r="13117" spans="1:6" x14ac:dyDescent="0.25">
      <c r="A13117" t="s">
        <v>715</v>
      </c>
      <c r="B13117" t="s">
        <v>39</v>
      </c>
      <c r="C13117" s="5" t="str">
        <f>" кв. "&amp;B13117</f>
        <v xml:space="preserve"> кв. 35</v>
      </c>
      <c r="D13117" s="5" t="str">
        <f>CONCATENATE(A13117,C13117)</f>
        <v>Фестивальная ул., дом 17 к.1 кв. 35</v>
      </c>
      <c r="E13117" s="3">
        <f>HYPERLINK("https://sao.dolgi.msk.ru/account/1404213728/", 1404213728)</f>
        <v>1404213728</v>
      </c>
      <c r="F13117">
        <v>1239.9000000000001</v>
      </c>
    </row>
    <row r="13118" spans="1:6" hidden="1" x14ac:dyDescent="0.25">
      <c r="A13118" t="s">
        <v>715</v>
      </c>
      <c r="B13118" t="s">
        <v>40</v>
      </c>
      <c r="E13118" s="3">
        <f>HYPERLINK("https://sao.dolgi.msk.ru/account/1404212936/", 1404212936)</f>
        <v>1404212936</v>
      </c>
      <c r="F13118">
        <v>-1067.71</v>
      </c>
    </row>
    <row r="13119" spans="1:6" hidden="1" x14ac:dyDescent="0.25">
      <c r="A13119" t="s">
        <v>715</v>
      </c>
      <c r="B13119" t="s">
        <v>41</v>
      </c>
      <c r="E13119" s="3">
        <f>HYPERLINK("https://sao.dolgi.msk.ru/account/1404214085/", 1404214085)</f>
        <v>1404214085</v>
      </c>
      <c r="F13119">
        <v>0</v>
      </c>
    </row>
    <row r="13120" spans="1:6" hidden="1" x14ac:dyDescent="0.25">
      <c r="A13120" t="s">
        <v>715</v>
      </c>
      <c r="B13120" t="s">
        <v>42</v>
      </c>
      <c r="E13120" s="3">
        <f>HYPERLINK("https://sao.dolgi.msk.ru/account/1404213883/", 1404213883)</f>
        <v>1404213883</v>
      </c>
      <c r="F13120">
        <v>-2699.55</v>
      </c>
    </row>
    <row r="13121" spans="1:6" x14ac:dyDescent="0.25">
      <c r="A13121" t="s">
        <v>715</v>
      </c>
      <c r="B13121" t="s">
        <v>43</v>
      </c>
      <c r="C13121" s="5" t="str">
        <f>" кв. "&amp;B13121</f>
        <v xml:space="preserve"> кв. 39</v>
      </c>
      <c r="D13121" s="5" t="str">
        <f>CONCATENATE(A13121,C13121)</f>
        <v>Фестивальная ул., дом 17 к.1 кв. 39</v>
      </c>
      <c r="E13121" s="3">
        <f>HYPERLINK("https://sao.dolgi.msk.ru/account/1404213234/", 1404213234)</f>
        <v>1404213234</v>
      </c>
      <c r="F13121">
        <v>2758.14</v>
      </c>
    </row>
    <row r="13122" spans="1:6" hidden="1" x14ac:dyDescent="0.25">
      <c r="A13122" t="s">
        <v>715</v>
      </c>
      <c r="B13122" t="s">
        <v>44</v>
      </c>
      <c r="E13122" s="3">
        <f>HYPERLINK("https://sao.dolgi.msk.ru/account/1404213891/", 1404213891)</f>
        <v>1404213891</v>
      </c>
      <c r="F13122">
        <v>0</v>
      </c>
    </row>
    <row r="13123" spans="1:6" hidden="1" x14ac:dyDescent="0.25">
      <c r="A13123" t="s">
        <v>715</v>
      </c>
      <c r="B13123" t="s">
        <v>45</v>
      </c>
      <c r="E13123" s="3">
        <f>HYPERLINK("https://sao.dolgi.msk.ru/account/1404214181/", 1404214181)</f>
        <v>1404214181</v>
      </c>
      <c r="F13123">
        <v>0</v>
      </c>
    </row>
    <row r="13124" spans="1:6" hidden="1" x14ac:dyDescent="0.25">
      <c r="A13124" t="s">
        <v>715</v>
      </c>
      <c r="B13124" t="s">
        <v>46</v>
      </c>
      <c r="E13124" s="3">
        <f>HYPERLINK("https://sao.dolgi.msk.ru/account/1404214202/", 1404214202)</f>
        <v>1404214202</v>
      </c>
      <c r="F13124">
        <v>-1816.48</v>
      </c>
    </row>
    <row r="13125" spans="1:6" hidden="1" x14ac:dyDescent="0.25">
      <c r="A13125" t="s">
        <v>715</v>
      </c>
      <c r="B13125" t="s">
        <v>47</v>
      </c>
      <c r="E13125" s="3">
        <f>HYPERLINK("https://sao.dolgi.msk.ru/account/1404213832/", 1404213832)</f>
        <v>1404213832</v>
      </c>
      <c r="F13125">
        <v>-2277.14</v>
      </c>
    </row>
    <row r="13126" spans="1:6" hidden="1" x14ac:dyDescent="0.25">
      <c r="A13126" t="s">
        <v>715</v>
      </c>
      <c r="B13126" t="s">
        <v>48</v>
      </c>
      <c r="E13126" s="3">
        <f>HYPERLINK("https://sao.dolgi.msk.ru/account/1404214237/", 1404214237)</f>
        <v>1404214237</v>
      </c>
      <c r="F13126">
        <v>-4039.68</v>
      </c>
    </row>
    <row r="13127" spans="1:6" x14ac:dyDescent="0.25">
      <c r="A13127" t="s">
        <v>715</v>
      </c>
      <c r="B13127" t="s">
        <v>49</v>
      </c>
      <c r="C13127" s="5" t="str">
        <f>" кв. "&amp;B13127</f>
        <v xml:space="preserve"> кв. 45</v>
      </c>
      <c r="D13127" s="5" t="str">
        <f>CONCATENATE(A13127,C13127)</f>
        <v>Фестивальная ул., дом 17 к.1 кв. 45</v>
      </c>
      <c r="E13127" s="3">
        <f>HYPERLINK("https://sao.dolgi.msk.ru/account/1404212979/", 1404212979)</f>
        <v>1404212979</v>
      </c>
      <c r="F13127">
        <v>2767.63</v>
      </c>
    </row>
    <row r="13128" spans="1:6" hidden="1" x14ac:dyDescent="0.25">
      <c r="A13128" t="s">
        <v>715</v>
      </c>
      <c r="B13128" t="s">
        <v>50</v>
      </c>
      <c r="E13128" s="3">
        <f>HYPERLINK("https://sao.dolgi.msk.ru/account/1404212987/", 1404212987)</f>
        <v>1404212987</v>
      </c>
      <c r="F13128">
        <v>0</v>
      </c>
    </row>
    <row r="13129" spans="1:6" hidden="1" x14ac:dyDescent="0.25">
      <c r="A13129" t="s">
        <v>715</v>
      </c>
      <c r="B13129" t="s">
        <v>51</v>
      </c>
      <c r="E13129" s="3">
        <f>HYPERLINK("https://sao.dolgi.msk.ru/account/1404213998/", 1404213998)</f>
        <v>1404213998</v>
      </c>
      <c r="F13129">
        <v>-1816.48</v>
      </c>
    </row>
    <row r="13130" spans="1:6" hidden="1" x14ac:dyDescent="0.25">
      <c r="A13130" t="s">
        <v>715</v>
      </c>
      <c r="B13130" t="s">
        <v>52</v>
      </c>
      <c r="E13130" s="3">
        <f>HYPERLINK("https://sao.dolgi.msk.ru/account/1404213816/", 1404213816)</f>
        <v>1404213816</v>
      </c>
      <c r="F13130">
        <v>-1821.1</v>
      </c>
    </row>
    <row r="13131" spans="1:6" x14ac:dyDescent="0.25">
      <c r="A13131" t="s">
        <v>715</v>
      </c>
      <c r="B13131" t="s">
        <v>53</v>
      </c>
      <c r="C13131" s="5" t="str">
        <f t="shared" ref="C13131:C13132" si="532">" кв. "&amp;B13131</f>
        <v xml:space="preserve"> кв. 49</v>
      </c>
      <c r="D13131" s="5" t="str">
        <f>CONCATENATE(A13131,C13131)</f>
        <v>Фестивальная ул., дом 17 к.1 кв. 49</v>
      </c>
      <c r="E13131" s="3">
        <f>HYPERLINK("https://sao.dolgi.msk.ru/account/1404214245/", 1404214245)</f>
        <v>1404214245</v>
      </c>
      <c r="F13131">
        <v>1847.19</v>
      </c>
    </row>
    <row r="13132" spans="1:6" x14ac:dyDescent="0.25">
      <c r="A13132" t="s">
        <v>715</v>
      </c>
      <c r="B13132" t="s">
        <v>54</v>
      </c>
      <c r="C13132" s="5" t="str">
        <f t="shared" si="532"/>
        <v xml:space="preserve"> кв. 50</v>
      </c>
      <c r="D13132" s="5" t="str">
        <f>CONCATENATE(A13132,C13132)</f>
        <v>Фестивальная ул., дом 17 к.1 кв. 50</v>
      </c>
      <c r="E13132" s="3">
        <f>HYPERLINK("https://sao.dolgi.msk.ru/account/1404213584/", 1404213584)</f>
        <v>1404213584</v>
      </c>
      <c r="F13132">
        <v>2233.0700000000002</v>
      </c>
    </row>
    <row r="13133" spans="1:6" hidden="1" x14ac:dyDescent="0.25">
      <c r="A13133" t="s">
        <v>715</v>
      </c>
      <c r="B13133" t="s">
        <v>55</v>
      </c>
      <c r="E13133" s="3">
        <f>HYPERLINK("https://sao.dolgi.msk.ru/account/1404213306/", 1404213306)</f>
        <v>1404213306</v>
      </c>
      <c r="F13133">
        <v>0</v>
      </c>
    </row>
    <row r="13134" spans="1:6" hidden="1" x14ac:dyDescent="0.25">
      <c r="A13134" t="s">
        <v>715</v>
      </c>
      <c r="B13134" t="s">
        <v>56</v>
      </c>
      <c r="E13134" s="3">
        <f>HYPERLINK("https://sao.dolgi.msk.ru/account/1404212848/", 1404212848)</f>
        <v>1404212848</v>
      </c>
      <c r="F13134">
        <v>-2694.67</v>
      </c>
    </row>
    <row r="13135" spans="1:6" hidden="1" x14ac:dyDescent="0.25">
      <c r="A13135" t="s">
        <v>715</v>
      </c>
      <c r="B13135" t="s">
        <v>57</v>
      </c>
      <c r="E13135" s="3">
        <f>HYPERLINK("https://sao.dolgi.msk.ru/account/1404213437/", 1404213437)</f>
        <v>1404213437</v>
      </c>
      <c r="F13135">
        <v>-1816.48</v>
      </c>
    </row>
    <row r="13136" spans="1:6" hidden="1" x14ac:dyDescent="0.25">
      <c r="A13136" t="s">
        <v>715</v>
      </c>
      <c r="B13136" t="s">
        <v>58</v>
      </c>
      <c r="E13136" s="3">
        <f>HYPERLINK("https://sao.dolgi.msk.ru/account/1404213445/", 1404213445)</f>
        <v>1404213445</v>
      </c>
      <c r="F13136">
        <v>-1816.48</v>
      </c>
    </row>
    <row r="13137" spans="1:6" hidden="1" x14ac:dyDescent="0.25">
      <c r="A13137" t="s">
        <v>715</v>
      </c>
      <c r="B13137" t="s">
        <v>59</v>
      </c>
      <c r="E13137" s="3">
        <f>HYPERLINK("https://sao.dolgi.msk.ru/account/1404213058/", 1404213058)</f>
        <v>1404213058</v>
      </c>
      <c r="F13137">
        <v>-1936.65</v>
      </c>
    </row>
    <row r="13138" spans="1:6" x14ac:dyDescent="0.25">
      <c r="A13138" t="s">
        <v>715</v>
      </c>
      <c r="B13138" t="s">
        <v>60</v>
      </c>
      <c r="C13138" s="5" t="str">
        <f>" кв. "&amp;B13138</f>
        <v xml:space="preserve"> кв. 56</v>
      </c>
      <c r="D13138" s="5" t="str">
        <f>CONCATENATE(A13138,C13138)</f>
        <v>Фестивальная ул., дом 17 к.1 кв. 56</v>
      </c>
      <c r="E13138" s="3">
        <f>HYPERLINK("https://sao.dolgi.msk.ru/account/1404213752/", 1404213752)</f>
        <v>1404213752</v>
      </c>
      <c r="F13138">
        <v>2418.9</v>
      </c>
    </row>
    <row r="13139" spans="1:6" hidden="1" x14ac:dyDescent="0.25">
      <c r="A13139" t="s">
        <v>715</v>
      </c>
      <c r="B13139" t="s">
        <v>61</v>
      </c>
      <c r="E13139" s="3">
        <f>HYPERLINK("https://sao.dolgi.msk.ru/account/1404212856/", 1404212856)</f>
        <v>1404212856</v>
      </c>
      <c r="F13139">
        <v>0</v>
      </c>
    </row>
    <row r="13140" spans="1:6" x14ac:dyDescent="0.25">
      <c r="A13140" t="s">
        <v>715</v>
      </c>
      <c r="B13140" t="s">
        <v>62</v>
      </c>
      <c r="C13140" s="5" t="str">
        <f>" кв. "&amp;B13140</f>
        <v xml:space="preserve"> кв. 58</v>
      </c>
      <c r="D13140" s="5" t="str">
        <f>CONCATENATE(A13140,C13140)</f>
        <v>Фестивальная ул., дом 17 к.1 кв. 58</v>
      </c>
      <c r="E13140" s="3">
        <f>HYPERLINK("https://sao.dolgi.msk.ru/account/1404213066/", 1404213066)</f>
        <v>1404213066</v>
      </c>
      <c r="F13140">
        <v>1837.7</v>
      </c>
    </row>
    <row r="13141" spans="1:6" hidden="1" x14ac:dyDescent="0.25">
      <c r="A13141" t="s">
        <v>715</v>
      </c>
      <c r="B13141" t="s">
        <v>63</v>
      </c>
      <c r="E13141" s="3">
        <f>HYPERLINK("https://sao.dolgi.msk.ru/account/1404213453/", 1404213453)</f>
        <v>1404213453</v>
      </c>
      <c r="F13141">
        <v>-1529.78</v>
      </c>
    </row>
    <row r="13142" spans="1:6" hidden="1" x14ac:dyDescent="0.25">
      <c r="A13142" t="s">
        <v>715</v>
      </c>
      <c r="B13142" t="s">
        <v>64</v>
      </c>
      <c r="E13142" s="3">
        <f>HYPERLINK("https://sao.dolgi.msk.ru/account/1404213664/", 1404213664)</f>
        <v>1404213664</v>
      </c>
      <c r="F13142">
        <v>-1529.78</v>
      </c>
    </row>
    <row r="13143" spans="1:6" x14ac:dyDescent="0.25">
      <c r="A13143" t="s">
        <v>715</v>
      </c>
      <c r="B13143" t="s">
        <v>65</v>
      </c>
      <c r="C13143" s="5" t="str">
        <f>" кв. "&amp;B13143</f>
        <v xml:space="preserve"> кв. 61</v>
      </c>
      <c r="D13143" s="5" t="str">
        <f>CONCATENATE(A13143,C13143)</f>
        <v>Фестивальная ул., дом 17 к.1 кв. 61</v>
      </c>
      <c r="E13143" s="3">
        <f>HYPERLINK("https://sao.dolgi.msk.ru/account/1404213074/", 1404213074)</f>
        <v>1404213074</v>
      </c>
      <c r="F13143">
        <v>1853.52</v>
      </c>
    </row>
    <row r="13144" spans="1:6" hidden="1" x14ac:dyDescent="0.25">
      <c r="A13144" t="s">
        <v>715</v>
      </c>
      <c r="B13144" t="s">
        <v>66</v>
      </c>
      <c r="E13144" s="3">
        <f>HYPERLINK("https://sao.dolgi.msk.ru/account/1404213082/", 1404213082)</f>
        <v>1404213082</v>
      </c>
      <c r="F13144">
        <v>0</v>
      </c>
    </row>
    <row r="13145" spans="1:6" hidden="1" x14ac:dyDescent="0.25">
      <c r="A13145" t="s">
        <v>715</v>
      </c>
      <c r="B13145" t="s">
        <v>67</v>
      </c>
      <c r="E13145" s="3">
        <f>HYPERLINK("https://sao.dolgi.msk.ru/account/1404214325/", 1404214325)</f>
        <v>1404214325</v>
      </c>
      <c r="F13145">
        <v>0</v>
      </c>
    </row>
    <row r="13146" spans="1:6" hidden="1" x14ac:dyDescent="0.25">
      <c r="A13146" t="s">
        <v>715</v>
      </c>
      <c r="B13146" t="s">
        <v>68</v>
      </c>
      <c r="E13146" s="3">
        <f>HYPERLINK("https://sao.dolgi.msk.ru/account/1404213701/", 1404213701)</f>
        <v>1404213701</v>
      </c>
      <c r="F13146">
        <v>-2653.06</v>
      </c>
    </row>
    <row r="13147" spans="1:6" hidden="1" x14ac:dyDescent="0.25">
      <c r="A13147" t="s">
        <v>715</v>
      </c>
      <c r="B13147" t="s">
        <v>69</v>
      </c>
      <c r="E13147" s="3">
        <f>HYPERLINK("https://sao.dolgi.msk.ru/account/1404213672/", 1404213672)</f>
        <v>1404213672</v>
      </c>
      <c r="F13147">
        <v>0</v>
      </c>
    </row>
    <row r="13148" spans="1:6" hidden="1" x14ac:dyDescent="0.25">
      <c r="A13148" t="s">
        <v>715</v>
      </c>
      <c r="B13148" t="s">
        <v>70</v>
      </c>
      <c r="E13148" s="3">
        <f>HYPERLINK("https://sao.dolgi.msk.ru/account/1404214456/", 1404214456)</f>
        <v>1404214456</v>
      </c>
      <c r="F13148">
        <v>-1816.48</v>
      </c>
    </row>
    <row r="13149" spans="1:6" hidden="1" x14ac:dyDescent="0.25">
      <c r="A13149" t="s">
        <v>715</v>
      </c>
      <c r="B13149" t="s">
        <v>71</v>
      </c>
      <c r="E13149" s="3">
        <f>HYPERLINK("https://sao.dolgi.msk.ru/account/1404214333/", 1404214333)</f>
        <v>1404214333</v>
      </c>
      <c r="F13149">
        <v>-1351.96</v>
      </c>
    </row>
    <row r="13150" spans="1:6" hidden="1" x14ac:dyDescent="0.25">
      <c r="A13150" t="s">
        <v>715</v>
      </c>
      <c r="B13150" t="s">
        <v>72</v>
      </c>
      <c r="E13150" s="3">
        <f>HYPERLINK("https://sao.dolgi.msk.ru/account/1404213103/", 1404213103)</f>
        <v>1404213103</v>
      </c>
      <c r="F13150">
        <v>0</v>
      </c>
    </row>
    <row r="13151" spans="1:6" hidden="1" x14ac:dyDescent="0.25">
      <c r="A13151" t="s">
        <v>715</v>
      </c>
      <c r="B13151" t="s">
        <v>73</v>
      </c>
      <c r="E13151" s="3">
        <f>HYPERLINK("https://sao.dolgi.msk.ru/account/1404213795/", 1404213795)</f>
        <v>1404213795</v>
      </c>
      <c r="F13151">
        <v>0</v>
      </c>
    </row>
    <row r="13152" spans="1:6" x14ac:dyDescent="0.25">
      <c r="A13152" t="s">
        <v>715</v>
      </c>
      <c r="B13152" t="s">
        <v>74</v>
      </c>
      <c r="C13152" s="5" t="str">
        <f>" кв. "&amp;B13152</f>
        <v xml:space="preserve"> кв. 70</v>
      </c>
      <c r="D13152" s="5" t="str">
        <f>CONCATENATE(A13152,C13152)</f>
        <v>Фестивальная ул., дом 17 к.1 кв. 70</v>
      </c>
      <c r="E13152" s="3">
        <f>HYPERLINK("https://sao.dolgi.msk.ru/account/1404213648/", 1404213648)</f>
        <v>1404213648</v>
      </c>
      <c r="F13152">
        <v>1844.03</v>
      </c>
    </row>
    <row r="13153" spans="1:6" hidden="1" x14ac:dyDescent="0.25">
      <c r="A13153" t="s">
        <v>715</v>
      </c>
      <c r="B13153" t="s">
        <v>75</v>
      </c>
      <c r="E13153" s="3">
        <f>HYPERLINK("https://sao.dolgi.msk.ru/account/1404214464/", 1404214464)</f>
        <v>1404214464</v>
      </c>
      <c r="F13153">
        <v>-1816.48</v>
      </c>
    </row>
    <row r="13154" spans="1:6" x14ac:dyDescent="0.25">
      <c r="A13154" t="s">
        <v>715</v>
      </c>
      <c r="B13154" t="s">
        <v>76</v>
      </c>
      <c r="C13154" s="5" t="str">
        <f>" кв. "&amp;B13154</f>
        <v xml:space="preserve"> кв. 72</v>
      </c>
      <c r="D13154" s="5" t="str">
        <f>CONCATENATE(A13154,C13154)</f>
        <v>Фестивальная ул., дом 17 к.1 кв. 72</v>
      </c>
      <c r="E13154" s="3">
        <f>HYPERLINK("https://sao.dolgi.msk.ru/account/1404213189/", 1404213189)</f>
        <v>1404213189</v>
      </c>
      <c r="F13154">
        <v>1262.04</v>
      </c>
    </row>
    <row r="13155" spans="1:6" hidden="1" x14ac:dyDescent="0.25">
      <c r="A13155" t="s">
        <v>715</v>
      </c>
      <c r="B13155" t="s">
        <v>77</v>
      </c>
      <c r="E13155" s="3">
        <f>HYPERLINK("https://sao.dolgi.msk.ru/account/1404214165/", 1404214165)</f>
        <v>1404214165</v>
      </c>
      <c r="F13155">
        <v>0</v>
      </c>
    </row>
    <row r="13156" spans="1:6" hidden="1" x14ac:dyDescent="0.25">
      <c r="A13156" t="s">
        <v>715</v>
      </c>
      <c r="B13156" t="s">
        <v>78</v>
      </c>
      <c r="E13156" s="3">
        <f>HYPERLINK("https://sao.dolgi.msk.ru/account/1404213808/", 1404213808)</f>
        <v>1404213808</v>
      </c>
      <c r="F13156">
        <v>-4021.19</v>
      </c>
    </row>
    <row r="13157" spans="1:6" x14ac:dyDescent="0.25">
      <c r="A13157" t="s">
        <v>715</v>
      </c>
      <c r="B13157" t="s">
        <v>79</v>
      </c>
      <c r="C13157" s="5" t="str">
        <f>" кв. "&amp;B13157</f>
        <v xml:space="preserve"> кв. 75</v>
      </c>
      <c r="D13157" s="5" t="str">
        <f>CONCATENATE(A13157,C13157)</f>
        <v>Фестивальная ул., дом 17 к.1 кв. 75</v>
      </c>
      <c r="E13157" s="3">
        <f>HYPERLINK("https://sao.dolgi.msk.ru/account/1404214173/", 1404214173)</f>
        <v>1404214173</v>
      </c>
      <c r="F13157">
        <v>1897.8</v>
      </c>
    </row>
    <row r="13158" spans="1:6" hidden="1" x14ac:dyDescent="0.25">
      <c r="A13158" t="s">
        <v>715</v>
      </c>
      <c r="B13158" t="s">
        <v>80</v>
      </c>
      <c r="E13158" s="3">
        <f>HYPERLINK("https://sao.dolgi.msk.ru/account/1404212928/", 1404212928)</f>
        <v>1404212928</v>
      </c>
      <c r="F13158">
        <v>0</v>
      </c>
    </row>
    <row r="13159" spans="1:6" hidden="1" x14ac:dyDescent="0.25">
      <c r="A13159" t="s">
        <v>715</v>
      </c>
      <c r="B13159" t="s">
        <v>81</v>
      </c>
      <c r="E13159" s="3">
        <f>HYPERLINK("https://sao.dolgi.msk.ru/account/1404213461/", 1404213461)</f>
        <v>1404213461</v>
      </c>
      <c r="F13159">
        <v>-1067.71</v>
      </c>
    </row>
    <row r="13160" spans="1:6" hidden="1" x14ac:dyDescent="0.25">
      <c r="A13160" t="s">
        <v>715</v>
      </c>
      <c r="B13160" t="s">
        <v>82</v>
      </c>
      <c r="E13160" s="3">
        <f>HYPERLINK("https://sao.dolgi.msk.ru/account/1404213904/", 1404213904)</f>
        <v>1404213904</v>
      </c>
      <c r="F13160">
        <v>-1816.48</v>
      </c>
    </row>
    <row r="13161" spans="1:6" x14ac:dyDescent="0.25">
      <c r="A13161" t="s">
        <v>715</v>
      </c>
      <c r="B13161" t="s">
        <v>83</v>
      </c>
      <c r="C13161" s="5" t="str">
        <f>" кв. "&amp;B13161</f>
        <v xml:space="preserve"> кв. 79</v>
      </c>
      <c r="D13161" s="5" t="str">
        <f>CONCATENATE(A13161,C13161)</f>
        <v>Фестивальная ул., дом 17 к.1 кв. 79</v>
      </c>
      <c r="E13161" s="3">
        <f>HYPERLINK("https://sao.dolgi.msk.ru/account/1404213963/", 1404213963)</f>
        <v>1404213963</v>
      </c>
      <c r="F13161">
        <v>1840.87</v>
      </c>
    </row>
    <row r="13162" spans="1:6" hidden="1" x14ac:dyDescent="0.25">
      <c r="A13162" t="s">
        <v>715</v>
      </c>
      <c r="B13162" t="s">
        <v>84</v>
      </c>
      <c r="E13162" s="3">
        <f>HYPERLINK("https://sao.dolgi.msk.ru/account/1404213373/", 1404213373)</f>
        <v>1404213373</v>
      </c>
      <c r="F13162">
        <v>0</v>
      </c>
    </row>
    <row r="13163" spans="1:6" x14ac:dyDescent="0.25">
      <c r="A13163" t="s">
        <v>715</v>
      </c>
      <c r="B13163" t="s">
        <v>85</v>
      </c>
      <c r="C13163" s="5" t="str">
        <f>" кв. "&amp;B13163</f>
        <v xml:space="preserve"> кв. 81</v>
      </c>
      <c r="D13163" s="5" t="str">
        <f>CONCATENATE(A13163,C13163)</f>
        <v>Фестивальная ул., дом 17 к.1 кв. 81</v>
      </c>
      <c r="E13163" s="3">
        <f>HYPERLINK("https://sao.dolgi.msk.ru/account/1404213971/", 1404213971)</f>
        <v>1404213971</v>
      </c>
      <c r="F13163">
        <v>2761.3</v>
      </c>
    </row>
    <row r="13164" spans="1:6" hidden="1" x14ac:dyDescent="0.25">
      <c r="A13164" t="s">
        <v>715</v>
      </c>
      <c r="B13164" t="s">
        <v>86</v>
      </c>
      <c r="E13164" s="3">
        <f>HYPERLINK("https://sao.dolgi.msk.ru/account/1404214368/", 1404214368)</f>
        <v>1404214368</v>
      </c>
      <c r="F13164">
        <v>-2717.78</v>
      </c>
    </row>
    <row r="13165" spans="1:6" hidden="1" x14ac:dyDescent="0.25">
      <c r="A13165" t="s">
        <v>715</v>
      </c>
      <c r="B13165" t="s">
        <v>87</v>
      </c>
      <c r="E13165" s="3">
        <f>HYPERLINK("https://sao.dolgi.msk.ru/account/1404214296/", 1404214296)</f>
        <v>1404214296</v>
      </c>
      <c r="F13165">
        <v>-1816.48</v>
      </c>
    </row>
    <row r="13166" spans="1:6" hidden="1" x14ac:dyDescent="0.25">
      <c r="A13166" t="s">
        <v>715</v>
      </c>
      <c r="B13166" t="s">
        <v>88</v>
      </c>
      <c r="E13166" s="3">
        <f>HYPERLINK("https://sao.dolgi.msk.ru/account/1404213525/", 1404213525)</f>
        <v>1404213525</v>
      </c>
      <c r="F13166">
        <v>-1830.35</v>
      </c>
    </row>
    <row r="13167" spans="1:6" x14ac:dyDescent="0.25">
      <c r="A13167" t="s">
        <v>715</v>
      </c>
      <c r="B13167" t="s">
        <v>89</v>
      </c>
      <c r="C13167" s="5" t="str">
        <f t="shared" ref="C13167:C13168" si="533">" кв. "&amp;B13167</f>
        <v xml:space="preserve"> кв. 85</v>
      </c>
      <c r="D13167" s="5" t="str">
        <f>CONCATENATE(A13167,C13167)</f>
        <v>Фестивальная ул., дом 17 к.1 кв. 85</v>
      </c>
      <c r="E13167" s="3">
        <f>HYPERLINK("https://sao.dolgi.msk.ru/account/1404213736/", 1404213736)</f>
        <v>1404213736</v>
      </c>
      <c r="F13167">
        <v>1847.19</v>
      </c>
    </row>
    <row r="13168" spans="1:6" x14ac:dyDescent="0.25">
      <c r="A13168" t="s">
        <v>715</v>
      </c>
      <c r="B13168" t="s">
        <v>90</v>
      </c>
      <c r="C13168" s="5" t="str">
        <f t="shared" si="533"/>
        <v xml:space="preserve"> кв. 86</v>
      </c>
      <c r="D13168" s="5" t="str">
        <f>CONCATENATE(A13168,C13168)</f>
        <v>Фестивальная ул., дом 17 к.1 кв. 86</v>
      </c>
      <c r="E13168" s="3">
        <f>HYPERLINK("https://sao.dolgi.msk.ru/account/1404214149/", 1404214149)</f>
        <v>1404214149</v>
      </c>
      <c r="F13168">
        <v>2764.46</v>
      </c>
    </row>
    <row r="13169" spans="1:6" hidden="1" x14ac:dyDescent="0.25">
      <c r="A13169" t="s">
        <v>715</v>
      </c>
      <c r="B13169" t="s">
        <v>91</v>
      </c>
      <c r="E13169" s="3">
        <f>HYPERLINK("https://sao.dolgi.msk.ru/account/1404213322/", 1404213322)</f>
        <v>1404213322</v>
      </c>
      <c r="F13169">
        <v>-4062.8</v>
      </c>
    </row>
    <row r="13170" spans="1:6" hidden="1" x14ac:dyDescent="0.25">
      <c r="A13170" t="s">
        <v>715</v>
      </c>
      <c r="B13170" t="s">
        <v>92</v>
      </c>
      <c r="E13170" s="3">
        <f>HYPERLINK("https://sao.dolgi.msk.ru/account/1404213939/", 1404213939)</f>
        <v>1404213939</v>
      </c>
      <c r="F13170">
        <v>-2703.92</v>
      </c>
    </row>
    <row r="13171" spans="1:6" hidden="1" x14ac:dyDescent="0.25">
      <c r="A13171" t="s">
        <v>715</v>
      </c>
      <c r="B13171" t="s">
        <v>93</v>
      </c>
      <c r="E13171" s="3">
        <f>HYPERLINK("https://sao.dolgi.msk.ru/account/1404213269/", 1404213269)</f>
        <v>1404213269</v>
      </c>
      <c r="F13171">
        <v>-1811.86</v>
      </c>
    </row>
    <row r="13172" spans="1:6" hidden="1" x14ac:dyDescent="0.25">
      <c r="A13172" t="s">
        <v>715</v>
      </c>
      <c r="B13172" t="s">
        <v>94</v>
      </c>
      <c r="E13172" s="3">
        <f>HYPERLINK("https://sao.dolgi.msk.ru/account/1404213277/", 1404213277)</f>
        <v>1404213277</v>
      </c>
      <c r="F13172">
        <v>-1067.71</v>
      </c>
    </row>
    <row r="13173" spans="1:6" hidden="1" x14ac:dyDescent="0.25">
      <c r="A13173" t="s">
        <v>715</v>
      </c>
      <c r="B13173" t="s">
        <v>95</v>
      </c>
      <c r="E13173" s="3">
        <f>HYPERLINK("https://sao.dolgi.msk.ru/account/1404213947/", 1404213947)</f>
        <v>1404213947</v>
      </c>
      <c r="F13173">
        <v>-2699.29</v>
      </c>
    </row>
    <row r="13174" spans="1:6" hidden="1" x14ac:dyDescent="0.25">
      <c r="A13174" t="s">
        <v>715</v>
      </c>
      <c r="B13174" t="s">
        <v>96</v>
      </c>
      <c r="E13174" s="3">
        <f>HYPERLINK("https://sao.dolgi.msk.ru/account/1404214376/", 1404214376)</f>
        <v>1404214376</v>
      </c>
      <c r="F13174">
        <v>-3808.19</v>
      </c>
    </row>
    <row r="13175" spans="1:6" hidden="1" x14ac:dyDescent="0.25">
      <c r="A13175" t="s">
        <v>715</v>
      </c>
      <c r="B13175" t="s">
        <v>97</v>
      </c>
      <c r="E13175" s="3">
        <f>HYPERLINK("https://sao.dolgi.msk.ru/account/1404212864/", 1404212864)</f>
        <v>1404212864</v>
      </c>
      <c r="F13175">
        <v>-4039.68</v>
      </c>
    </row>
    <row r="13176" spans="1:6" x14ac:dyDescent="0.25">
      <c r="A13176" t="s">
        <v>715</v>
      </c>
      <c r="B13176" t="s">
        <v>98</v>
      </c>
      <c r="C13176" s="5" t="str">
        <f>" кв. "&amp;B13176</f>
        <v xml:space="preserve"> кв. 94</v>
      </c>
      <c r="D13176" s="5" t="str">
        <f>CONCATENATE(A13176,C13176)</f>
        <v>Фестивальная ул., дом 17 к.1 кв. 94</v>
      </c>
      <c r="E13176" s="3">
        <f>HYPERLINK("https://sao.dolgi.msk.ru/account/1404213111/", 1404213111)</f>
        <v>1404213111</v>
      </c>
      <c r="F13176">
        <v>1844.03</v>
      </c>
    </row>
    <row r="13177" spans="1:6" hidden="1" x14ac:dyDescent="0.25">
      <c r="A13177" t="s">
        <v>715</v>
      </c>
      <c r="B13177" t="s">
        <v>99</v>
      </c>
      <c r="E13177" s="3">
        <f>HYPERLINK("https://sao.dolgi.msk.ru/account/1404213533/", 1404213533)</f>
        <v>1404213533</v>
      </c>
      <c r="F13177">
        <v>-1063.0899999999999</v>
      </c>
    </row>
    <row r="13178" spans="1:6" hidden="1" x14ac:dyDescent="0.25">
      <c r="A13178" t="s">
        <v>715</v>
      </c>
      <c r="B13178" t="s">
        <v>100</v>
      </c>
      <c r="E13178" s="3">
        <f>HYPERLINK("https://sao.dolgi.msk.ru/account/1404213541/", 1404213541)</f>
        <v>1404213541</v>
      </c>
      <c r="F13178">
        <v>-1830.35</v>
      </c>
    </row>
    <row r="13179" spans="1:6" hidden="1" x14ac:dyDescent="0.25">
      <c r="A13179" t="s">
        <v>715</v>
      </c>
      <c r="B13179" t="s">
        <v>101</v>
      </c>
      <c r="E13179" s="3">
        <f>HYPERLINK("https://sao.dolgi.msk.ru/account/1404213138/", 1404213138)</f>
        <v>1404213138</v>
      </c>
      <c r="F13179">
        <v>0</v>
      </c>
    </row>
    <row r="13180" spans="1:6" x14ac:dyDescent="0.25">
      <c r="A13180" t="s">
        <v>715</v>
      </c>
      <c r="B13180" t="s">
        <v>102</v>
      </c>
      <c r="C13180" s="5" t="str">
        <f t="shared" ref="C13180:C13183" si="534">" кв. "&amp;B13180</f>
        <v xml:space="preserve"> кв. 98</v>
      </c>
      <c r="D13180" s="5" t="str">
        <f>CONCATENATE(A13180,C13180)</f>
        <v>Фестивальная ул., дом 17 к.1 кв. 98</v>
      </c>
      <c r="E13180" s="3">
        <f>HYPERLINK("https://sao.dolgi.msk.ru/account/1404213744/", 1404213744)</f>
        <v>1404213744</v>
      </c>
      <c r="F13180">
        <v>2770.79</v>
      </c>
    </row>
    <row r="13181" spans="1:6" x14ac:dyDescent="0.25">
      <c r="A13181" t="s">
        <v>715</v>
      </c>
      <c r="B13181" t="s">
        <v>103</v>
      </c>
      <c r="C13181" s="5" t="str">
        <f t="shared" si="534"/>
        <v xml:space="preserve"> кв. 99</v>
      </c>
      <c r="D13181" s="5" t="str">
        <f>CONCATENATE(A13181,C13181)</f>
        <v>Фестивальная ул., дом 17 к.1 кв. 99</v>
      </c>
      <c r="E13181" s="3">
        <f>HYPERLINK("https://sao.dolgi.msk.ru/account/1404212872/", 1404212872)</f>
        <v>1404212872</v>
      </c>
      <c r="F13181">
        <v>1717.51</v>
      </c>
    </row>
    <row r="13182" spans="1:6" x14ac:dyDescent="0.25">
      <c r="A13182" t="s">
        <v>715</v>
      </c>
      <c r="B13182" t="s">
        <v>104</v>
      </c>
      <c r="C13182" s="5" t="str">
        <f t="shared" si="534"/>
        <v xml:space="preserve"> кв. 100</v>
      </c>
      <c r="D13182" s="5" t="str">
        <f>CONCATENATE(A13182,C13182)</f>
        <v>Фестивальная ул., дом 17 к.1 кв. 100</v>
      </c>
      <c r="E13182" s="3">
        <f>HYPERLINK("https://sao.dolgi.msk.ru/account/1404213349/", 1404213349)</f>
        <v>1404213349</v>
      </c>
      <c r="F13182">
        <v>1856.68</v>
      </c>
    </row>
    <row r="13183" spans="1:6" x14ac:dyDescent="0.25">
      <c r="A13183" t="s">
        <v>715</v>
      </c>
      <c r="B13183" t="s">
        <v>105</v>
      </c>
      <c r="C13183" s="5" t="str">
        <f t="shared" si="534"/>
        <v xml:space="preserve"> кв. 101</v>
      </c>
      <c r="D13183" s="5" t="str">
        <f>CONCATENATE(A13183,C13183)</f>
        <v>Фестивальная ул., дом 17 к.1 кв. 101</v>
      </c>
      <c r="E13183" s="3">
        <f>HYPERLINK("https://sao.dolgi.msk.ru/account/1404214093/", 1404214093)</f>
        <v>1404214093</v>
      </c>
      <c r="F13183">
        <v>1249.3900000000001</v>
      </c>
    </row>
    <row r="13184" spans="1:6" hidden="1" x14ac:dyDescent="0.25">
      <c r="A13184" t="s">
        <v>715</v>
      </c>
      <c r="B13184" t="s">
        <v>106</v>
      </c>
      <c r="E13184" s="3">
        <f>HYPERLINK("https://sao.dolgi.msk.ru/account/1404214309/", 1404214309)</f>
        <v>1404214309</v>
      </c>
      <c r="F13184">
        <v>-1058.46</v>
      </c>
    </row>
    <row r="13185" spans="1:6" hidden="1" x14ac:dyDescent="0.25">
      <c r="A13185" t="s">
        <v>715</v>
      </c>
      <c r="B13185" t="s">
        <v>107</v>
      </c>
      <c r="E13185" s="3">
        <f>HYPERLINK("https://sao.dolgi.msk.ru/account/1404213285/", 1404213285)</f>
        <v>1404213285</v>
      </c>
      <c r="F13185">
        <v>-2680.8</v>
      </c>
    </row>
    <row r="13186" spans="1:6" hidden="1" x14ac:dyDescent="0.25">
      <c r="A13186" t="s">
        <v>715</v>
      </c>
      <c r="B13186" t="s">
        <v>108</v>
      </c>
      <c r="E13186" s="3">
        <f>HYPERLINK("https://sao.dolgi.msk.ru/account/1404212899/", 1404212899)</f>
        <v>1404212899</v>
      </c>
      <c r="F13186">
        <v>0</v>
      </c>
    </row>
    <row r="13187" spans="1:6" hidden="1" x14ac:dyDescent="0.25">
      <c r="A13187" t="s">
        <v>715</v>
      </c>
      <c r="B13187" t="s">
        <v>109</v>
      </c>
      <c r="E13187" s="3">
        <f>HYPERLINK("https://sao.dolgi.msk.ru/account/1404213357/", 1404213357)</f>
        <v>1404213357</v>
      </c>
      <c r="F13187">
        <v>0</v>
      </c>
    </row>
    <row r="13188" spans="1:6" hidden="1" x14ac:dyDescent="0.25">
      <c r="A13188" t="s">
        <v>715</v>
      </c>
      <c r="B13188" t="s">
        <v>110</v>
      </c>
      <c r="E13188" s="3">
        <f>HYPERLINK("https://sao.dolgi.msk.ru/account/1404214384/", 1404214384)</f>
        <v>1404214384</v>
      </c>
      <c r="F13188">
        <v>-2722.41</v>
      </c>
    </row>
    <row r="13189" spans="1:6" hidden="1" x14ac:dyDescent="0.25">
      <c r="A13189" t="s">
        <v>715</v>
      </c>
      <c r="B13189" t="s">
        <v>111</v>
      </c>
      <c r="E13189" s="3">
        <f>HYPERLINK("https://sao.dolgi.msk.ru/account/1404213568/", 1404213568)</f>
        <v>1404213568</v>
      </c>
      <c r="F13189">
        <v>-1834.97</v>
      </c>
    </row>
    <row r="13190" spans="1:6" hidden="1" x14ac:dyDescent="0.25">
      <c r="A13190" t="s">
        <v>715</v>
      </c>
      <c r="B13190" t="s">
        <v>112</v>
      </c>
      <c r="E13190" s="3">
        <f>HYPERLINK("https://sao.dolgi.msk.ru/account/1404214106/", 1404214106)</f>
        <v>1404214106</v>
      </c>
      <c r="F13190">
        <v>-1825.73</v>
      </c>
    </row>
    <row r="13191" spans="1:6" x14ac:dyDescent="0.25">
      <c r="A13191" t="s">
        <v>715</v>
      </c>
      <c r="B13191" t="s">
        <v>113</v>
      </c>
      <c r="C13191" s="5" t="str">
        <f>" кв. "&amp;B13191</f>
        <v xml:space="preserve"> кв. 109</v>
      </c>
      <c r="D13191" s="5" t="str">
        <f>CONCATENATE(A13191,C13191)</f>
        <v>Фестивальная ул., дом 17 к.1 кв. 109</v>
      </c>
      <c r="E13191" s="3">
        <f>HYPERLINK("https://sao.dolgi.msk.ru/account/1404214157/", 1404214157)</f>
        <v>1404214157</v>
      </c>
      <c r="F13191">
        <v>1840.87</v>
      </c>
    </row>
    <row r="13192" spans="1:6" hidden="1" x14ac:dyDescent="0.25">
      <c r="A13192" t="s">
        <v>715</v>
      </c>
      <c r="B13192" t="s">
        <v>114</v>
      </c>
      <c r="E13192" s="3">
        <f>HYPERLINK("https://sao.dolgi.msk.ru/account/1404214392/", 1404214392)</f>
        <v>1404214392</v>
      </c>
      <c r="F13192">
        <v>-4053.55</v>
      </c>
    </row>
    <row r="13193" spans="1:6" x14ac:dyDescent="0.25">
      <c r="A13193" t="s">
        <v>715</v>
      </c>
      <c r="B13193" t="s">
        <v>115</v>
      </c>
      <c r="C13193" s="5" t="str">
        <f t="shared" ref="C13193:C13194" si="535">" кв. "&amp;B13193</f>
        <v xml:space="preserve"> кв. 111</v>
      </c>
      <c r="D13193" s="5" t="str">
        <f>CONCATENATE(A13193,C13193)</f>
        <v>Фестивальная ул., дом 17 к.1 кв. 111</v>
      </c>
      <c r="E13193" s="3">
        <f>HYPERLINK("https://sao.dolgi.msk.ru/account/1404213955/", 1404213955)</f>
        <v>1404213955</v>
      </c>
      <c r="F13193">
        <v>2764.46</v>
      </c>
    </row>
    <row r="13194" spans="1:6" x14ac:dyDescent="0.25">
      <c r="A13194" t="s">
        <v>715</v>
      </c>
      <c r="B13194" t="s">
        <v>116</v>
      </c>
      <c r="C13194" s="5" t="str">
        <f t="shared" si="535"/>
        <v xml:space="preserve"> кв. 112</v>
      </c>
      <c r="D13194" s="5" t="str">
        <f>CONCATENATE(A13194,C13194)</f>
        <v>Фестивальная ул., дом 17 к.1 кв. 112</v>
      </c>
      <c r="E13194" s="3">
        <f>HYPERLINK("https://sao.dolgi.msk.ru/account/1404213779/", 1404213779)</f>
        <v>1404213779</v>
      </c>
      <c r="F13194">
        <v>1186.1300000000001</v>
      </c>
    </row>
    <row r="13195" spans="1:6" hidden="1" x14ac:dyDescent="0.25">
      <c r="A13195" t="s">
        <v>715</v>
      </c>
      <c r="B13195" t="s">
        <v>117</v>
      </c>
      <c r="E13195" s="3">
        <f>HYPERLINK("https://sao.dolgi.msk.ru/account/1404214317/", 1404214317)</f>
        <v>1404214317</v>
      </c>
      <c r="F13195">
        <v>0</v>
      </c>
    </row>
    <row r="13196" spans="1:6" x14ac:dyDescent="0.25">
      <c r="A13196" t="s">
        <v>715</v>
      </c>
      <c r="B13196" t="s">
        <v>118</v>
      </c>
      <c r="C13196" s="5" t="str">
        <f>" кв. "&amp;B13196</f>
        <v xml:space="preserve"> кв. 114</v>
      </c>
      <c r="D13196" s="5" t="str">
        <f>CONCATENATE(A13196,C13196)</f>
        <v>Фестивальная ул., дом 17 к.1 кв. 114</v>
      </c>
      <c r="E13196" s="3">
        <f>HYPERLINK("https://sao.dolgi.msk.ru/account/1404213015/", 1404213015)</f>
        <v>1404213015</v>
      </c>
      <c r="F13196">
        <v>1255.71</v>
      </c>
    </row>
    <row r="13197" spans="1:6" hidden="1" x14ac:dyDescent="0.25">
      <c r="A13197" t="s">
        <v>715</v>
      </c>
      <c r="B13197" t="s">
        <v>119</v>
      </c>
      <c r="E13197" s="3">
        <f>HYPERLINK("https://sao.dolgi.msk.ru/account/1404213146/", 1404213146)</f>
        <v>1404213146</v>
      </c>
      <c r="F13197">
        <v>-1609.02</v>
      </c>
    </row>
    <row r="13198" spans="1:6" hidden="1" x14ac:dyDescent="0.25">
      <c r="A13198" t="s">
        <v>715</v>
      </c>
      <c r="B13198" t="s">
        <v>120</v>
      </c>
      <c r="E13198" s="3">
        <f>HYPERLINK("https://sao.dolgi.msk.ru/account/1404213787/", 1404213787)</f>
        <v>1404213787</v>
      </c>
      <c r="F13198">
        <v>0</v>
      </c>
    </row>
    <row r="13199" spans="1:6" hidden="1" x14ac:dyDescent="0.25">
      <c r="A13199" t="s">
        <v>715</v>
      </c>
      <c r="B13199" t="s">
        <v>121</v>
      </c>
      <c r="E13199" s="3">
        <f>HYPERLINK("https://sao.dolgi.msk.ru/account/1404214405/", 1404214405)</f>
        <v>1404214405</v>
      </c>
      <c r="F13199">
        <v>-4053.55</v>
      </c>
    </row>
    <row r="13200" spans="1:6" hidden="1" x14ac:dyDescent="0.25">
      <c r="A13200" t="s">
        <v>715</v>
      </c>
      <c r="B13200" t="s">
        <v>122</v>
      </c>
      <c r="E13200" s="3">
        <f>HYPERLINK("https://sao.dolgi.msk.ru/account/1404213365/", 1404213365)</f>
        <v>1404213365</v>
      </c>
      <c r="F13200">
        <v>-2703.92</v>
      </c>
    </row>
    <row r="13201" spans="1:6" hidden="1" x14ac:dyDescent="0.25">
      <c r="A13201" t="s">
        <v>715</v>
      </c>
      <c r="B13201" t="s">
        <v>123</v>
      </c>
      <c r="E13201" s="3">
        <f>HYPERLINK("https://sao.dolgi.msk.ru/account/1404213381/", 1404213381)</f>
        <v>1404213381</v>
      </c>
      <c r="F13201">
        <v>-1834.95</v>
      </c>
    </row>
    <row r="13202" spans="1:6" hidden="1" x14ac:dyDescent="0.25">
      <c r="A13202" t="s">
        <v>715</v>
      </c>
      <c r="B13202" t="s">
        <v>124</v>
      </c>
      <c r="E13202" s="3">
        <f>HYPERLINK("https://sao.dolgi.msk.ru/account/1404213293/", 1404213293)</f>
        <v>1404213293</v>
      </c>
      <c r="F13202">
        <v>-1834.97</v>
      </c>
    </row>
    <row r="13203" spans="1:6" hidden="1" x14ac:dyDescent="0.25">
      <c r="A13203" t="s">
        <v>715</v>
      </c>
      <c r="B13203" t="s">
        <v>125</v>
      </c>
      <c r="E13203" s="3">
        <f>HYPERLINK("https://sao.dolgi.msk.ru/account/1404213488/", 1404213488)</f>
        <v>1404213488</v>
      </c>
      <c r="F13203">
        <v>0</v>
      </c>
    </row>
    <row r="13204" spans="1:6" hidden="1" x14ac:dyDescent="0.25">
      <c r="A13204" t="s">
        <v>715</v>
      </c>
      <c r="B13204" t="s">
        <v>126</v>
      </c>
      <c r="E13204" s="3">
        <f>HYPERLINK("https://sao.dolgi.msk.ru/account/1404212901/", 1404212901)</f>
        <v>1404212901</v>
      </c>
      <c r="F13204">
        <v>-4044.31</v>
      </c>
    </row>
    <row r="13205" spans="1:6" hidden="1" x14ac:dyDescent="0.25">
      <c r="A13205" t="s">
        <v>715</v>
      </c>
      <c r="B13205" t="s">
        <v>127</v>
      </c>
      <c r="E13205" s="3">
        <f>HYPERLINK("https://sao.dolgi.msk.ru/account/1404214026/", 1404214026)</f>
        <v>1404214026</v>
      </c>
      <c r="F13205">
        <v>0</v>
      </c>
    </row>
    <row r="13206" spans="1:6" x14ac:dyDescent="0.25">
      <c r="A13206" t="s">
        <v>715</v>
      </c>
      <c r="B13206" t="s">
        <v>128</v>
      </c>
      <c r="C13206" s="5" t="str">
        <f>" кв. "&amp;B13206</f>
        <v xml:space="preserve"> кв. 124</v>
      </c>
      <c r="D13206" s="5" t="str">
        <f>CONCATENATE(A13206,C13206)</f>
        <v>Фестивальная ул., дом 17 к.1 кв. 124</v>
      </c>
      <c r="E13206" s="3">
        <f>HYPERLINK("https://sao.dolgi.msk.ru/account/1404214034/", 1404214034)</f>
        <v>1404214034</v>
      </c>
      <c r="F13206">
        <v>1850.36</v>
      </c>
    </row>
    <row r="13207" spans="1:6" hidden="1" x14ac:dyDescent="0.25">
      <c r="A13207" t="s">
        <v>715</v>
      </c>
      <c r="B13207" t="s">
        <v>129</v>
      </c>
      <c r="E13207" s="3">
        <f>HYPERLINK("https://sao.dolgi.msk.ru/account/1404213576/", 1404213576)</f>
        <v>1404213576</v>
      </c>
      <c r="F13207">
        <v>-1830.35</v>
      </c>
    </row>
    <row r="13208" spans="1:6" hidden="1" x14ac:dyDescent="0.25">
      <c r="A13208" t="s">
        <v>715</v>
      </c>
      <c r="B13208" t="s">
        <v>130</v>
      </c>
      <c r="E13208" s="3">
        <f>HYPERLINK("https://sao.dolgi.msk.ru/account/1404213023/", 1404213023)</f>
        <v>1404213023</v>
      </c>
      <c r="F13208">
        <v>-1839.57</v>
      </c>
    </row>
    <row r="13209" spans="1:6" hidden="1" x14ac:dyDescent="0.25">
      <c r="A13209" t="s">
        <v>715</v>
      </c>
      <c r="B13209" t="s">
        <v>131</v>
      </c>
      <c r="E13209" s="3">
        <f>HYPERLINK("https://sao.dolgi.msk.ru/account/1404214253/", 1404214253)</f>
        <v>1404214253</v>
      </c>
      <c r="F13209">
        <v>0</v>
      </c>
    </row>
    <row r="13210" spans="1:6" hidden="1" x14ac:dyDescent="0.25">
      <c r="A13210" t="s">
        <v>715</v>
      </c>
      <c r="B13210" t="s">
        <v>132</v>
      </c>
      <c r="E13210" s="3">
        <f>HYPERLINK("https://sao.dolgi.msk.ru/account/1404214261/", 1404214261)</f>
        <v>1404214261</v>
      </c>
      <c r="F13210">
        <v>-4030.44</v>
      </c>
    </row>
    <row r="13211" spans="1:6" x14ac:dyDescent="0.25">
      <c r="A13211" t="s">
        <v>715</v>
      </c>
      <c r="B13211" t="s">
        <v>133</v>
      </c>
      <c r="C13211" s="5" t="str">
        <f>" кв. "&amp;B13211</f>
        <v xml:space="preserve"> кв. 129</v>
      </c>
      <c r="D13211" s="5" t="str">
        <f>CONCATENATE(A13211,C13211)</f>
        <v>Фестивальная ул., дом 17 к.1 кв. 129</v>
      </c>
      <c r="E13211" s="3">
        <f>HYPERLINK("https://sao.dolgi.msk.ru/account/1404213517/", 1404213517)</f>
        <v>1404213517</v>
      </c>
      <c r="F13211">
        <v>2770.79</v>
      </c>
    </row>
    <row r="13212" spans="1:6" hidden="1" x14ac:dyDescent="0.25">
      <c r="A13212" t="s">
        <v>715</v>
      </c>
      <c r="B13212" t="s">
        <v>134</v>
      </c>
      <c r="E13212" s="3">
        <f>HYPERLINK("https://sao.dolgi.msk.ru/account/1404214472/", 1404214472)</f>
        <v>1404214472</v>
      </c>
      <c r="F13212">
        <v>-2708.54</v>
      </c>
    </row>
    <row r="13213" spans="1:6" hidden="1" x14ac:dyDescent="0.25">
      <c r="A13213" t="s">
        <v>715</v>
      </c>
      <c r="B13213" t="s">
        <v>135</v>
      </c>
      <c r="E13213" s="3">
        <f>HYPERLINK("https://sao.dolgi.msk.ru/account/1404213031/", 1404213031)</f>
        <v>1404213031</v>
      </c>
      <c r="F13213">
        <v>0</v>
      </c>
    </row>
    <row r="13214" spans="1:6" x14ac:dyDescent="0.25">
      <c r="A13214" t="s">
        <v>715</v>
      </c>
      <c r="B13214" t="s">
        <v>136</v>
      </c>
      <c r="C13214" s="5" t="str">
        <f>" кв. "&amp;B13214</f>
        <v xml:space="preserve"> кв. 132</v>
      </c>
      <c r="D13214" s="5" t="str">
        <f>CONCATENATE(A13214,C13214)</f>
        <v>Фестивальная ул., дом 17 к.1 кв. 132</v>
      </c>
      <c r="E13214" s="3">
        <f>HYPERLINK("https://sao.dolgi.msk.ru/account/1404214536/", 1404214536)</f>
        <v>1404214536</v>
      </c>
      <c r="F13214">
        <v>1265.2</v>
      </c>
    </row>
    <row r="13215" spans="1:6" hidden="1" x14ac:dyDescent="0.25">
      <c r="A13215" t="s">
        <v>715</v>
      </c>
      <c r="B13215" t="s">
        <v>137</v>
      </c>
      <c r="E13215" s="3">
        <f>HYPERLINK("https://sao.dolgi.msk.ru/account/1404213007/", 1404213007)</f>
        <v>1404213007</v>
      </c>
      <c r="F13215">
        <v>-2690.05</v>
      </c>
    </row>
    <row r="13216" spans="1:6" hidden="1" x14ac:dyDescent="0.25">
      <c r="A13216" t="s">
        <v>715</v>
      </c>
      <c r="B13216" t="s">
        <v>138</v>
      </c>
      <c r="E13216" s="3">
        <f>HYPERLINK("https://sao.dolgi.msk.ru/account/1404213218/", 1404213218)</f>
        <v>1404213218</v>
      </c>
      <c r="F13216">
        <v>-6621.92</v>
      </c>
    </row>
    <row r="13217" spans="1:6" hidden="1" x14ac:dyDescent="0.25">
      <c r="A13217" t="s">
        <v>715</v>
      </c>
      <c r="B13217" t="s">
        <v>139</v>
      </c>
      <c r="E13217" s="3">
        <f>HYPERLINK("https://sao.dolgi.msk.ru/account/1404213226/", 1404213226)</f>
        <v>1404213226</v>
      </c>
      <c r="F13217">
        <v>-4058.17</v>
      </c>
    </row>
    <row r="13218" spans="1:6" hidden="1" x14ac:dyDescent="0.25">
      <c r="A13218" t="s">
        <v>715</v>
      </c>
      <c r="B13218" t="s">
        <v>140</v>
      </c>
      <c r="E13218" s="3">
        <f>HYPERLINK("https://sao.dolgi.msk.ru/account/1404214042/", 1404214042)</f>
        <v>1404214042</v>
      </c>
      <c r="F13218">
        <v>0</v>
      </c>
    </row>
    <row r="13219" spans="1:6" hidden="1" x14ac:dyDescent="0.25">
      <c r="A13219" t="s">
        <v>715</v>
      </c>
      <c r="B13219" t="s">
        <v>141</v>
      </c>
      <c r="E13219" s="3">
        <f>HYPERLINK("https://sao.dolgi.msk.ru/account/1404213621/", 1404213621)</f>
        <v>1404213621</v>
      </c>
      <c r="F13219">
        <v>-288.89999999999998</v>
      </c>
    </row>
    <row r="13220" spans="1:6" x14ac:dyDescent="0.25">
      <c r="A13220" t="s">
        <v>715</v>
      </c>
      <c r="B13220" t="s">
        <v>142</v>
      </c>
      <c r="C13220" s="5" t="str">
        <f>" кв. "&amp;B13220</f>
        <v xml:space="preserve"> кв. 138</v>
      </c>
      <c r="D13220" s="5" t="str">
        <f>CONCATENATE(A13220,C13220)</f>
        <v>Фестивальная ул., дом 17 к.1 кв. 138</v>
      </c>
      <c r="E13220" s="3">
        <f>HYPERLINK("https://sao.dolgi.msk.ru/account/1404214413/", 1404214413)</f>
        <v>1404214413</v>
      </c>
      <c r="F13220">
        <v>1262.04</v>
      </c>
    </row>
    <row r="13221" spans="1:6" hidden="1" x14ac:dyDescent="0.25">
      <c r="A13221" t="s">
        <v>715</v>
      </c>
      <c r="B13221" t="s">
        <v>143</v>
      </c>
      <c r="E13221" s="3">
        <f>HYPERLINK("https://sao.dolgi.msk.ru/account/1404214501/", 1404214501)</f>
        <v>1404214501</v>
      </c>
      <c r="F13221">
        <v>0</v>
      </c>
    </row>
    <row r="13222" spans="1:6" hidden="1" x14ac:dyDescent="0.25">
      <c r="A13222" t="s">
        <v>715</v>
      </c>
      <c r="B13222" t="s">
        <v>144</v>
      </c>
      <c r="E13222" s="3">
        <f>HYPERLINK("https://sao.dolgi.msk.ru/account/1404213867/", 1404213867)</f>
        <v>1404213867</v>
      </c>
      <c r="F13222">
        <v>-4699.29</v>
      </c>
    </row>
    <row r="13223" spans="1:6" hidden="1" x14ac:dyDescent="0.25">
      <c r="A13223" t="s">
        <v>716</v>
      </c>
      <c r="B13223" t="s">
        <v>5</v>
      </c>
      <c r="E13223" s="3">
        <f>HYPERLINK("https://sao.dolgi.msk.ru/account/1404214552/", 1404214552)</f>
        <v>1404214552</v>
      </c>
      <c r="F13223">
        <v>-2110.42</v>
      </c>
    </row>
    <row r="13224" spans="1:6" hidden="1" x14ac:dyDescent="0.25">
      <c r="A13224" t="s">
        <v>716</v>
      </c>
      <c r="B13224" t="s">
        <v>6</v>
      </c>
      <c r="E13224" s="3">
        <f>HYPERLINK("https://sao.dolgi.msk.ru/account/1404215088/", 1404215088)</f>
        <v>1404215088</v>
      </c>
      <c r="F13224">
        <v>-1699.91</v>
      </c>
    </row>
    <row r="13225" spans="1:6" x14ac:dyDescent="0.25">
      <c r="A13225" t="s">
        <v>716</v>
      </c>
      <c r="B13225" t="s">
        <v>7</v>
      </c>
      <c r="C13225" s="5" t="str">
        <f t="shared" ref="C13225:C13227" si="536">" кв. "&amp;B13225</f>
        <v xml:space="preserve"> кв. 3</v>
      </c>
      <c r="D13225" s="5" t="str">
        <f>CONCATENATE(A13225,C13225)</f>
        <v>Фестивальная ул., дом 39 к.1 кв. 3</v>
      </c>
      <c r="E13225" s="3">
        <f>HYPERLINK("https://sao.dolgi.msk.ru/account/1404214544/", 1404214544)</f>
        <v>1404214544</v>
      </c>
      <c r="F13225">
        <v>927.5</v>
      </c>
    </row>
    <row r="13226" spans="1:6" x14ac:dyDescent="0.25">
      <c r="A13226" t="s">
        <v>716</v>
      </c>
      <c r="B13226" t="s">
        <v>8</v>
      </c>
      <c r="C13226" s="5" t="str">
        <f t="shared" si="536"/>
        <v xml:space="preserve"> кв. 4</v>
      </c>
      <c r="D13226" s="5" t="str">
        <f>CONCATENATE(A13226,C13226)</f>
        <v>Фестивальная ул., дом 39 к.1 кв. 4</v>
      </c>
      <c r="E13226" s="3">
        <f>HYPERLINK("https://sao.dolgi.msk.ru/account/1404215117/", 1404215117)</f>
        <v>1404215117</v>
      </c>
      <c r="F13226">
        <v>2052.79</v>
      </c>
    </row>
    <row r="13227" spans="1:6" x14ac:dyDescent="0.25">
      <c r="A13227" t="s">
        <v>716</v>
      </c>
      <c r="B13227" t="s">
        <v>9</v>
      </c>
      <c r="C13227" s="5" t="str">
        <f t="shared" si="536"/>
        <v xml:space="preserve"> кв. 5</v>
      </c>
      <c r="D13227" s="5" t="str">
        <f>CONCATENATE(A13227,C13227)</f>
        <v>Фестивальная ул., дом 39 к.1 кв. 5</v>
      </c>
      <c r="E13227" s="3">
        <f>HYPERLINK("https://sao.dolgi.msk.ru/account/1404215256/", 1404215256)</f>
        <v>1404215256</v>
      </c>
      <c r="F13227">
        <v>1568.85</v>
      </c>
    </row>
    <row r="13228" spans="1:6" hidden="1" x14ac:dyDescent="0.25">
      <c r="A13228" t="s">
        <v>716</v>
      </c>
      <c r="B13228" t="s">
        <v>10</v>
      </c>
      <c r="E13228" s="3">
        <f>HYPERLINK("https://sao.dolgi.msk.ru/account/1404215133/", 1404215133)</f>
        <v>1404215133</v>
      </c>
      <c r="F13228">
        <v>-1613.11</v>
      </c>
    </row>
    <row r="13229" spans="1:6" x14ac:dyDescent="0.25">
      <c r="A13229" t="s">
        <v>716</v>
      </c>
      <c r="B13229" t="s">
        <v>11</v>
      </c>
      <c r="C13229" s="5" t="str">
        <f t="shared" ref="C13229:C13230" si="537">" кв. "&amp;B13229</f>
        <v xml:space="preserve"> кв. 7</v>
      </c>
      <c r="D13229" s="5" t="str">
        <f>CONCATENATE(A13229,C13229)</f>
        <v>Фестивальная ул., дом 39 к.1 кв. 7</v>
      </c>
      <c r="E13229" s="3">
        <f>HYPERLINK("https://sao.dolgi.msk.ru/account/1404215141/", 1404215141)</f>
        <v>1404215141</v>
      </c>
      <c r="F13229">
        <v>559.85</v>
      </c>
    </row>
    <row r="13230" spans="1:6" x14ac:dyDescent="0.25">
      <c r="A13230" t="s">
        <v>716</v>
      </c>
      <c r="B13230" t="s">
        <v>12</v>
      </c>
      <c r="C13230" s="5" t="str">
        <f t="shared" si="537"/>
        <v xml:space="preserve"> кв. 8</v>
      </c>
      <c r="D13230" s="5" t="str">
        <f>CONCATENATE(A13230,C13230)</f>
        <v>Фестивальная ул., дом 39 к.1 кв. 8</v>
      </c>
      <c r="E13230" s="3">
        <f>HYPERLINK("https://sao.dolgi.msk.ru/account/1404214851/", 1404214851)</f>
        <v>1404214851</v>
      </c>
      <c r="F13230">
        <v>1094.4000000000001</v>
      </c>
    </row>
    <row r="13231" spans="1:6" hidden="1" x14ac:dyDescent="0.25">
      <c r="A13231" t="s">
        <v>716</v>
      </c>
      <c r="B13231" t="s">
        <v>13</v>
      </c>
      <c r="E13231" s="3">
        <f>HYPERLINK("https://sao.dolgi.msk.ru/account/1404214659/", 1404214659)</f>
        <v>1404214659</v>
      </c>
      <c r="F13231">
        <v>-1934.59</v>
      </c>
    </row>
    <row r="13232" spans="1:6" x14ac:dyDescent="0.25">
      <c r="A13232" t="s">
        <v>716</v>
      </c>
      <c r="B13232" t="s">
        <v>14</v>
      </c>
      <c r="C13232" s="5" t="str">
        <f>" кв. "&amp;B13232</f>
        <v xml:space="preserve"> кв. 10</v>
      </c>
      <c r="D13232" s="5" t="str">
        <f>CONCATENATE(A13232,C13232)</f>
        <v>Фестивальная ул., дом 39 к.1 кв. 10</v>
      </c>
      <c r="E13232" s="3">
        <f>HYPERLINK("https://sao.dolgi.msk.ru/account/1404214579/", 1404214579)</f>
        <v>1404214579</v>
      </c>
      <c r="F13232">
        <v>2036.97</v>
      </c>
    </row>
    <row r="13233" spans="1:6" hidden="1" x14ac:dyDescent="0.25">
      <c r="A13233" t="s">
        <v>716</v>
      </c>
      <c r="B13233" t="s">
        <v>15</v>
      </c>
      <c r="E13233" s="3">
        <f>HYPERLINK("https://sao.dolgi.msk.ru/account/1404215328/", 1404215328)</f>
        <v>1404215328</v>
      </c>
      <c r="F13233">
        <v>-1928.09</v>
      </c>
    </row>
    <row r="13234" spans="1:6" hidden="1" x14ac:dyDescent="0.25">
      <c r="A13234" t="s">
        <v>716</v>
      </c>
      <c r="B13234" t="s">
        <v>16</v>
      </c>
      <c r="E13234" s="3">
        <f>HYPERLINK("https://sao.dolgi.msk.ru/account/1404215336/", 1404215336)</f>
        <v>1404215336</v>
      </c>
      <c r="F13234">
        <v>-2338.7600000000002</v>
      </c>
    </row>
    <row r="13235" spans="1:6" x14ac:dyDescent="0.25">
      <c r="A13235" t="s">
        <v>716</v>
      </c>
      <c r="B13235" t="s">
        <v>17</v>
      </c>
      <c r="C13235" s="5" t="str">
        <f>" кв. "&amp;B13235</f>
        <v xml:space="preserve"> кв. 13</v>
      </c>
      <c r="D13235" s="5" t="str">
        <f>CONCATENATE(A13235,C13235)</f>
        <v>Фестивальная ул., дом 39 к.1 кв. 13</v>
      </c>
      <c r="E13235" s="3">
        <f>HYPERLINK("https://sao.dolgi.msk.ru/account/1404214907/", 1404214907)</f>
        <v>1404214907</v>
      </c>
      <c r="F13235">
        <v>1091.24</v>
      </c>
    </row>
    <row r="13236" spans="1:6" hidden="1" x14ac:dyDescent="0.25">
      <c r="A13236" t="s">
        <v>716</v>
      </c>
      <c r="B13236" t="s">
        <v>18</v>
      </c>
      <c r="E13236" s="3">
        <f>HYPERLINK("https://sao.dolgi.msk.ru/account/1404214915/", 1404214915)</f>
        <v>1404214915</v>
      </c>
      <c r="F13236">
        <v>-1594.62</v>
      </c>
    </row>
    <row r="13237" spans="1:6" hidden="1" x14ac:dyDescent="0.25">
      <c r="A13237" t="s">
        <v>716</v>
      </c>
      <c r="B13237" t="s">
        <v>19</v>
      </c>
      <c r="E13237" s="3">
        <f>HYPERLINK("https://sao.dolgi.msk.ru/account/1404215467/", 1404215467)</f>
        <v>1404215467</v>
      </c>
      <c r="F13237">
        <v>-1585.37</v>
      </c>
    </row>
    <row r="13238" spans="1:6" hidden="1" x14ac:dyDescent="0.25">
      <c r="A13238" t="s">
        <v>716</v>
      </c>
      <c r="B13238" t="s">
        <v>20</v>
      </c>
      <c r="E13238" s="3">
        <f>HYPERLINK("https://sao.dolgi.msk.ru/account/1404215459/", 1404215459)</f>
        <v>1404215459</v>
      </c>
      <c r="F13238">
        <v>-2320.29</v>
      </c>
    </row>
    <row r="13239" spans="1:6" hidden="1" x14ac:dyDescent="0.25">
      <c r="A13239" t="s">
        <v>716</v>
      </c>
      <c r="B13239" t="s">
        <v>21</v>
      </c>
      <c r="E13239" s="3">
        <f>HYPERLINK("https://sao.dolgi.msk.ru/account/1404214667/", 1404214667)</f>
        <v>1404214667</v>
      </c>
      <c r="F13239">
        <v>-2967.37</v>
      </c>
    </row>
    <row r="13240" spans="1:6" hidden="1" x14ac:dyDescent="0.25">
      <c r="A13240" t="s">
        <v>716</v>
      </c>
      <c r="B13240" t="s">
        <v>22</v>
      </c>
      <c r="E13240" s="3">
        <f>HYPERLINK("https://sao.dolgi.msk.ru/account/1404215061/", 1404215061)</f>
        <v>1404215061</v>
      </c>
      <c r="F13240">
        <v>0</v>
      </c>
    </row>
    <row r="13241" spans="1:6" x14ac:dyDescent="0.25">
      <c r="A13241" t="s">
        <v>716</v>
      </c>
      <c r="B13241" t="s">
        <v>23</v>
      </c>
      <c r="C13241" s="5" t="str">
        <f t="shared" ref="C13241:C13242" si="538">" кв. "&amp;B13241</f>
        <v xml:space="preserve"> кв. 19</v>
      </c>
      <c r="D13241" s="5" t="str">
        <f>CONCATENATE(A13241,C13241)</f>
        <v>Фестивальная ул., дом 39 к.1 кв. 19</v>
      </c>
      <c r="E13241" s="3">
        <f>HYPERLINK("https://sao.dolgi.msk.ru/account/1404214675/", 1404214675)</f>
        <v>1404214675</v>
      </c>
      <c r="F13241">
        <v>1575.17</v>
      </c>
    </row>
    <row r="13242" spans="1:6" x14ac:dyDescent="0.25">
      <c r="A13242" t="s">
        <v>716</v>
      </c>
      <c r="B13242" t="s">
        <v>24</v>
      </c>
      <c r="C13242" s="5" t="str">
        <f t="shared" si="538"/>
        <v xml:space="preserve"> кв. 20</v>
      </c>
      <c r="D13242" s="5" t="str">
        <f>CONCATENATE(A13242,C13242)</f>
        <v>Фестивальная ул., дом 39 к.1 кв. 20</v>
      </c>
      <c r="E13242" s="3">
        <f>HYPERLINK("https://sao.dolgi.msk.ru/account/1404215096/", 1404215096)</f>
        <v>1404215096</v>
      </c>
      <c r="F13242">
        <v>1097.56</v>
      </c>
    </row>
    <row r="13243" spans="1:6" hidden="1" x14ac:dyDescent="0.25">
      <c r="A13243" t="s">
        <v>716</v>
      </c>
      <c r="B13243" t="s">
        <v>25</v>
      </c>
      <c r="E13243" s="3">
        <f>HYPERLINK("https://sao.dolgi.msk.ru/account/1404214878/", 1404214878)</f>
        <v>1404214878</v>
      </c>
      <c r="F13243">
        <v>-1576.12</v>
      </c>
    </row>
    <row r="13244" spans="1:6" hidden="1" x14ac:dyDescent="0.25">
      <c r="A13244" t="s">
        <v>716</v>
      </c>
      <c r="B13244" t="s">
        <v>26</v>
      </c>
      <c r="E13244" s="3">
        <f>HYPERLINK("https://sao.dolgi.msk.ru/account/1404215176/", 1404215176)</f>
        <v>1404215176</v>
      </c>
      <c r="F13244">
        <v>0</v>
      </c>
    </row>
    <row r="13245" spans="1:6" hidden="1" x14ac:dyDescent="0.25">
      <c r="A13245" t="s">
        <v>716</v>
      </c>
      <c r="B13245" t="s">
        <v>27</v>
      </c>
      <c r="E13245" s="3">
        <f>HYPERLINK("https://sao.dolgi.msk.ru/account/1404214683/", 1404214683)</f>
        <v>1404214683</v>
      </c>
      <c r="F13245">
        <v>-1740.21</v>
      </c>
    </row>
    <row r="13246" spans="1:6" x14ac:dyDescent="0.25">
      <c r="A13246" t="s">
        <v>716</v>
      </c>
      <c r="B13246" t="s">
        <v>28</v>
      </c>
      <c r="C13246" s="5" t="str">
        <f>" кв. "&amp;B13246</f>
        <v xml:space="preserve"> кв. 24</v>
      </c>
      <c r="D13246" s="5" t="str">
        <f>CONCATENATE(A13246,C13246)</f>
        <v>Фестивальная ул., дом 39 к.1 кв. 24</v>
      </c>
      <c r="E13246" s="3">
        <f>HYPERLINK("https://sao.dolgi.msk.ru/account/1404215184/", 1404215184)</f>
        <v>1404215184</v>
      </c>
      <c r="F13246">
        <v>1524.56</v>
      </c>
    </row>
    <row r="13247" spans="1:6" hidden="1" x14ac:dyDescent="0.25">
      <c r="A13247" t="s">
        <v>716</v>
      </c>
      <c r="B13247" t="s">
        <v>29</v>
      </c>
      <c r="E13247" s="3">
        <f>HYPERLINK("https://sao.dolgi.msk.ru/account/1404214691/", 1404214691)</f>
        <v>1404214691</v>
      </c>
      <c r="F13247">
        <v>-1645</v>
      </c>
    </row>
    <row r="13248" spans="1:6" hidden="1" x14ac:dyDescent="0.25">
      <c r="A13248" t="s">
        <v>716</v>
      </c>
      <c r="B13248" t="s">
        <v>30</v>
      </c>
      <c r="E13248" s="3">
        <f>HYPERLINK("https://sao.dolgi.msk.ru/account/1404215301/", 1404215301)</f>
        <v>1404215301</v>
      </c>
      <c r="F13248">
        <v>-1534.53</v>
      </c>
    </row>
    <row r="13249" spans="1:6" hidden="1" x14ac:dyDescent="0.25">
      <c r="A13249" t="s">
        <v>716</v>
      </c>
      <c r="B13249" t="s">
        <v>31</v>
      </c>
      <c r="E13249" s="3">
        <f>HYPERLINK("https://sao.dolgi.msk.ru/account/1404214886/", 1404214886)</f>
        <v>1404214886</v>
      </c>
      <c r="F13249">
        <v>-1626.98</v>
      </c>
    </row>
    <row r="13250" spans="1:6" hidden="1" x14ac:dyDescent="0.25">
      <c r="A13250" t="s">
        <v>716</v>
      </c>
      <c r="B13250" t="s">
        <v>32</v>
      </c>
      <c r="E13250" s="3">
        <f>HYPERLINK("https://sao.dolgi.msk.ru/account/1404215547/", 1404215547)</f>
        <v>1404215547</v>
      </c>
      <c r="F13250">
        <v>-1580.75</v>
      </c>
    </row>
    <row r="13251" spans="1:6" hidden="1" x14ac:dyDescent="0.25">
      <c r="A13251" t="s">
        <v>716</v>
      </c>
      <c r="B13251" t="s">
        <v>33</v>
      </c>
      <c r="E13251" s="3">
        <f>HYPERLINK("https://sao.dolgi.msk.ru/account/1404214894/", 1404214894)</f>
        <v>1404214894</v>
      </c>
      <c r="F13251">
        <v>-1580.75</v>
      </c>
    </row>
    <row r="13252" spans="1:6" hidden="1" x14ac:dyDescent="0.25">
      <c r="A13252" t="s">
        <v>716</v>
      </c>
      <c r="B13252" t="s">
        <v>34</v>
      </c>
      <c r="E13252" s="3">
        <f>HYPERLINK("https://sao.dolgi.msk.ru/account/1404214798/", 1404214798)</f>
        <v>1404214798</v>
      </c>
      <c r="F13252">
        <v>0</v>
      </c>
    </row>
    <row r="13253" spans="1:6" hidden="1" x14ac:dyDescent="0.25">
      <c r="A13253" t="s">
        <v>716</v>
      </c>
      <c r="B13253" t="s">
        <v>35</v>
      </c>
      <c r="E13253" s="3">
        <f>HYPERLINK("https://sao.dolgi.msk.ru/account/1404215192/", 1404215192)</f>
        <v>1404215192</v>
      </c>
      <c r="F13253">
        <v>-2985.86</v>
      </c>
    </row>
    <row r="13254" spans="1:6" hidden="1" x14ac:dyDescent="0.25">
      <c r="A13254" t="s">
        <v>716</v>
      </c>
      <c r="B13254" t="s">
        <v>36</v>
      </c>
      <c r="E13254" s="3">
        <f>HYPERLINK("https://sao.dolgi.msk.ru/account/1404214819/", 1404214819)</f>
        <v>1404214819</v>
      </c>
      <c r="F13254">
        <v>-946.94</v>
      </c>
    </row>
    <row r="13255" spans="1:6" x14ac:dyDescent="0.25">
      <c r="A13255" t="s">
        <v>716</v>
      </c>
      <c r="B13255" t="s">
        <v>37</v>
      </c>
      <c r="C13255" s="5" t="str">
        <f t="shared" ref="C13255:C13256" si="539">" кв. "&amp;B13255</f>
        <v xml:space="preserve"> кв. 33</v>
      </c>
      <c r="D13255" s="5" t="str">
        <f>CONCATENATE(A13255,C13255)</f>
        <v>Фестивальная ул., дом 39 к.1 кв. 33</v>
      </c>
      <c r="E13255" s="3">
        <f>HYPERLINK("https://sao.dolgi.msk.ru/account/1404215109/", 1404215109)</f>
        <v>1404215109</v>
      </c>
      <c r="F13255">
        <v>1578.34</v>
      </c>
    </row>
    <row r="13256" spans="1:6" x14ac:dyDescent="0.25">
      <c r="A13256" t="s">
        <v>716</v>
      </c>
      <c r="B13256" t="s">
        <v>38</v>
      </c>
      <c r="C13256" s="5" t="str">
        <f t="shared" si="539"/>
        <v xml:space="preserve"> кв. 34</v>
      </c>
      <c r="D13256" s="5" t="str">
        <f>CONCATENATE(A13256,C13256)</f>
        <v>Фестивальная ул., дом 39 к.1 кв. 34</v>
      </c>
      <c r="E13256" s="3">
        <f>HYPERLINK("https://sao.dolgi.msk.ru/account/1404215205/", 1404215205)</f>
        <v>1404215205</v>
      </c>
      <c r="F13256">
        <v>1100.72</v>
      </c>
    </row>
    <row r="13257" spans="1:6" hidden="1" x14ac:dyDescent="0.25">
      <c r="A13257" t="s">
        <v>716</v>
      </c>
      <c r="B13257" t="s">
        <v>39</v>
      </c>
      <c r="E13257" s="3">
        <f>HYPERLINK("https://sao.dolgi.msk.ru/account/1404215475/", 1404215475)</f>
        <v>1404215475</v>
      </c>
      <c r="F13257">
        <v>0</v>
      </c>
    </row>
    <row r="13258" spans="1:6" hidden="1" x14ac:dyDescent="0.25">
      <c r="A13258" t="s">
        <v>716</v>
      </c>
      <c r="B13258" t="s">
        <v>40</v>
      </c>
      <c r="E13258" s="3">
        <f>HYPERLINK("https://sao.dolgi.msk.ru/account/1404215213/", 1404215213)</f>
        <v>1404215213</v>
      </c>
      <c r="F13258">
        <v>-817.13</v>
      </c>
    </row>
    <row r="13259" spans="1:6" hidden="1" x14ac:dyDescent="0.25">
      <c r="A13259" t="s">
        <v>716</v>
      </c>
      <c r="B13259" t="s">
        <v>41</v>
      </c>
      <c r="E13259" s="3">
        <f>HYPERLINK("https://sao.dolgi.msk.ru/account/1404215483/", 1404215483)</f>
        <v>1404215483</v>
      </c>
      <c r="F13259">
        <v>-1950.16</v>
      </c>
    </row>
    <row r="13260" spans="1:6" x14ac:dyDescent="0.25">
      <c r="A13260" t="s">
        <v>716</v>
      </c>
      <c r="B13260" t="s">
        <v>42</v>
      </c>
      <c r="C13260" s="5" t="str">
        <f>" кв. "&amp;B13260</f>
        <v xml:space="preserve"> кв. 38</v>
      </c>
      <c r="D13260" s="5" t="str">
        <f>CONCATENATE(A13260,C13260)</f>
        <v>Фестивальная ул., дом 39 к.1 кв. 38</v>
      </c>
      <c r="E13260" s="3">
        <f>HYPERLINK("https://sao.dolgi.msk.ru/account/1404214923/", 1404214923)</f>
        <v>1404214923</v>
      </c>
      <c r="F13260">
        <v>2040.14</v>
      </c>
    </row>
    <row r="13261" spans="1:6" hidden="1" x14ac:dyDescent="0.25">
      <c r="A13261" t="s">
        <v>716</v>
      </c>
      <c r="B13261" t="s">
        <v>43</v>
      </c>
      <c r="E13261" s="3">
        <f>HYPERLINK("https://sao.dolgi.msk.ru/account/1404214931/", 1404214931)</f>
        <v>1404214931</v>
      </c>
      <c r="F13261">
        <v>-2971.99</v>
      </c>
    </row>
    <row r="13262" spans="1:6" hidden="1" x14ac:dyDescent="0.25">
      <c r="A13262" t="s">
        <v>716</v>
      </c>
      <c r="B13262" t="s">
        <v>44</v>
      </c>
      <c r="E13262" s="3">
        <f>HYPERLINK("https://sao.dolgi.msk.ru/account/1404215491/", 1404215491)</f>
        <v>1404215491</v>
      </c>
      <c r="F13262">
        <v>-1282.05</v>
      </c>
    </row>
    <row r="13263" spans="1:6" hidden="1" x14ac:dyDescent="0.25">
      <c r="A13263" t="s">
        <v>716</v>
      </c>
      <c r="B13263" t="s">
        <v>45</v>
      </c>
      <c r="E13263" s="3">
        <f>HYPERLINK("https://sao.dolgi.msk.ru/account/1404214827/", 1404214827)</f>
        <v>1404214827</v>
      </c>
      <c r="F13263">
        <v>-1603.86</v>
      </c>
    </row>
    <row r="13264" spans="1:6" x14ac:dyDescent="0.25">
      <c r="A13264" t="s">
        <v>716</v>
      </c>
      <c r="B13264" t="s">
        <v>46</v>
      </c>
      <c r="C13264" s="5" t="str">
        <f>" кв. "&amp;B13264</f>
        <v xml:space="preserve"> кв. 42</v>
      </c>
      <c r="D13264" s="5" t="str">
        <f>CONCATENATE(A13264,C13264)</f>
        <v>Фестивальная ул., дом 39 к.1 кв. 42</v>
      </c>
      <c r="E13264" s="3">
        <f>HYPERLINK("https://sao.dolgi.msk.ru/account/1404215221/", 1404215221)</f>
        <v>1404215221</v>
      </c>
      <c r="F13264">
        <v>1097.56</v>
      </c>
    </row>
    <row r="13265" spans="1:6" hidden="1" x14ac:dyDescent="0.25">
      <c r="A13265" t="s">
        <v>716</v>
      </c>
      <c r="B13265" t="s">
        <v>47</v>
      </c>
      <c r="E13265" s="3">
        <f>HYPERLINK("https://sao.dolgi.msk.ru/account/1404214712/", 1404214712)</f>
        <v>1404214712</v>
      </c>
      <c r="F13265">
        <v>0</v>
      </c>
    </row>
    <row r="13266" spans="1:6" x14ac:dyDescent="0.25">
      <c r="A13266" t="s">
        <v>716</v>
      </c>
      <c r="B13266" t="s">
        <v>48</v>
      </c>
      <c r="C13266" s="5" t="str">
        <f t="shared" ref="C13266:C13267" si="540">" кв. "&amp;B13266</f>
        <v xml:space="preserve"> кв. 44</v>
      </c>
      <c r="D13266" s="5" t="str">
        <f>CONCATENATE(A13266,C13266)</f>
        <v>Фестивальная ул., дом 39 к.1 кв. 44</v>
      </c>
      <c r="E13266" s="3">
        <f>HYPERLINK("https://sao.dolgi.msk.ru/account/1404214739/", 1404214739)</f>
        <v>1404214739</v>
      </c>
      <c r="F13266">
        <v>1584.66</v>
      </c>
    </row>
    <row r="13267" spans="1:6" x14ac:dyDescent="0.25">
      <c r="A13267" t="s">
        <v>716</v>
      </c>
      <c r="B13267" t="s">
        <v>49</v>
      </c>
      <c r="C13267" s="5" t="str">
        <f t="shared" si="540"/>
        <v xml:space="preserve"> кв. 45</v>
      </c>
      <c r="D13267" s="5" t="str">
        <f>CONCATENATE(A13267,C13267)</f>
        <v>Фестивальная ул., дом 39 к.1 кв. 45</v>
      </c>
      <c r="E13267" s="3">
        <f>HYPERLINK("https://sao.dolgi.msk.ru/account/1404215248/", 1404215248)</f>
        <v>1404215248</v>
      </c>
      <c r="F13267">
        <v>2052.79</v>
      </c>
    </row>
    <row r="13268" spans="1:6" hidden="1" x14ac:dyDescent="0.25">
      <c r="A13268" t="s">
        <v>716</v>
      </c>
      <c r="B13268" t="s">
        <v>50</v>
      </c>
      <c r="E13268" s="3">
        <f>HYPERLINK("https://sao.dolgi.msk.ru/account/1404214958/", 1404214958)</f>
        <v>1404214958</v>
      </c>
      <c r="F13268">
        <v>-664.55</v>
      </c>
    </row>
    <row r="13269" spans="1:6" hidden="1" x14ac:dyDescent="0.25">
      <c r="A13269" t="s">
        <v>716</v>
      </c>
      <c r="B13269" t="s">
        <v>50</v>
      </c>
      <c r="E13269" s="3">
        <f>HYPERLINK("https://sao.dolgi.msk.ru/account/1404215272/", 1404215272)</f>
        <v>1404215272</v>
      </c>
      <c r="F13269">
        <v>-1329.1</v>
      </c>
    </row>
    <row r="13270" spans="1:6" hidden="1" x14ac:dyDescent="0.25">
      <c r="A13270" t="s">
        <v>716</v>
      </c>
      <c r="B13270" t="s">
        <v>50</v>
      </c>
      <c r="E13270" s="3">
        <f>HYPERLINK("https://sao.dolgi.msk.ru/account/1404215299/", 1404215299)</f>
        <v>1404215299</v>
      </c>
      <c r="F13270">
        <v>-332.28</v>
      </c>
    </row>
    <row r="13271" spans="1:6" hidden="1" x14ac:dyDescent="0.25">
      <c r="A13271" t="s">
        <v>716</v>
      </c>
      <c r="B13271" t="s">
        <v>51</v>
      </c>
      <c r="E13271" s="3">
        <f>HYPERLINK("https://sao.dolgi.msk.ru/account/1404215125/", 1404215125)</f>
        <v>1404215125</v>
      </c>
      <c r="F13271">
        <v>0</v>
      </c>
    </row>
    <row r="13272" spans="1:6" hidden="1" x14ac:dyDescent="0.25">
      <c r="A13272" t="s">
        <v>716</v>
      </c>
      <c r="B13272" t="s">
        <v>52</v>
      </c>
      <c r="E13272" s="3">
        <f>HYPERLINK("https://sao.dolgi.msk.ru/account/1404214587/", 1404214587)</f>
        <v>1404214587</v>
      </c>
      <c r="F13272">
        <v>-1626.98</v>
      </c>
    </row>
    <row r="13273" spans="1:6" hidden="1" x14ac:dyDescent="0.25">
      <c r="A13273" t="s">
        <v>716</v>
      </c>
      <c r="B13273" t="s">
        <v>53</v>
      </c>
      <c r="E13273" s="3">
        <f>HYPERLINK("https://sao.dolgi.msk.ru/account/1404215344/", 1404215344)</f>
        <v>1404215344</v>
      </c>
      <c r="F13273">
        <v>-1608.48</v>
      </c>
    </row>
    <row r="13274" spans="1:6" hidden="1" x14ac:dyDescent="0.25">
      <c r="A13274" t="s">
        <v>716</v>
      </c>
      <c r="B13274" t="s">
        <v>54</v>
      </c>
      <c r="E13274" s="3">
        <f>HYPERLINK("https://sao.dolgi.msk.ru/account/1404215264/", 1404215264)</f>
        <v>1404215264</v>
      </c>
      <c r="F13274">
        <v>-1589.99</v>
      </c>
    </row>
    <row r="13275" spans="1:6" x14ac:dyDescent="0.25">
      <c r="A13275" t="s">
        <v>716</v>
      </c>
      <c r="B13275" t="s">
        <v>55</v>
      </c>
      <c r="C13275" s="5" t="str">
        <f>" кв. "&amp;B13275</f>
        <v xml:space="preserve"> кв. 51</v>
      </c>
      <c r="D13275" s="5" t="str">
        <f>CONCATENATE(A13275,C13275)</f>
        <v>Фестивальная ул., дом 39 к.1 кв. 51</v>
      </c>
      <c r="E13275" s="3">
        <f>HYPERLINK("https://sao.dolgi.msk.ru/account/1404214595/", 1404214595)</f>
        <v>1404214595</v>
      </c>
      <c r="F13275">
        <v>1606.8</v>
      </c>
    </row>
    <row r="13276" spans="1:6" hidden="1" x14ac:dyDescent="0.25">
      <c r="A13276" t="s">
        <v>716</v>
      </c>
      <c r="B13276" t="s">
        <v>56</v>
      </c>
      <c r="E13276" s="3">
        <f>HYPERLINK("https://sao.dolgi.msk.ru/account/1404214747/", 1404214747)</f>
        <v>1404214747</v>
      </c>
      <c r="F13276">
        <v>-2999.73</v>
      </c>
    </row>
    <row r="13277" spans="1:6" hidden="1" x14ac:dyDescent="0.25">
      <c r="A13277" t="s">
        <v>716</v>
      </c>
      <c r="B13277" t="s">
        <v>57</v>
      </c>
      <c r="E13277" s="3">
        <f>HYPERLINK("https://sao.dolgi.msk.ru/account/1404214608/", 1404214608)</f>
        <v>1404214608</v>
      </c>
      <c r="F13277">
        <v>-3008.97</v>
      </c>
    </row>
    <row r="13278" spans="1:6" hidden="1" x14ac:dyDescent="0.25">
      <c r="A13278" t="s">
        <v>716</v>
      </c>
      <c r="B13278" t="s">
        <v>58</v>
      </c>
      <c r="E13278" s="3">
        <f>HYPERLINK("https://sao.dolgi.msk.ru/account/1404215352/", 1404215352)</f>
        <v>1404215352</v>
      </c>
      <c r="F13278">
        <v>0</v>
      </c>
    </row>
    <row r="13279" spans="1:6" hidden="1" x14ac:dyDescent="0.25">
      <c r="A13279" t="s">
        <v>716</v>
      </c>
      <c r="B13279" t="s">
        <v>59</v>
      </c>
      <c r="E13279" s="3">
        <f>HYPERLINK("https://sao.dolgi.msk.ru/account/1404215379/", 1404215379)</f>
        <v>1404215379</v>
      </c>
      <c r="F13279">
        <v>-1622.35</v>
      </c>
    </row>
    <row r="13280" spans="1:6" hidden="1" x14ac:dyDescent="0.25">
      <c r="A13280" t="s">
        <v>716</v>
      </c>
      <c r="B13280" t="s">
        <v>60</v>
      </c>
      <c r="E13280" s="3">
        <f>HYPERLINK("https://sao.dolgi.msk.ru/account/1404214835/", 1404214835)</f>
        <v>1404214835</v>
      </c>
      <c r="F13280">
        <v>-1613.11</v>
      </c>
    </row>
    <row r="13281" spans="1:6" x14ac:dyDescent="0.25">
      <c r="A13281" t="s">
        <v>716</v>
      </c>
      <c r="B13281" t="s">
        <v>61</v>
      </c>
      <c r="C13281" s="5" t="str">
        <f>" кв. "&amp;B13281</f>
        <v xml:space="preserve"> кв. 57</v>
      </c>
      <c r="D13281" s="5" t="str">
        <f>CONCATENATE(A13281,C13281)</f>
        <v>Фестивальная ул., дом 39 к.1 кв. 57</v>
      </c>
      <c r="E13281" s="3">
        <f>HYPERLINK("https://sao.dolgi.msk.ru/account/1404215387/", 1404215387)</f>
        <v>1404215387</v>
      </c>
      <c r="F13281">
        <v>1097.56</v>
      </c>
    </row>
    <row r="13282" spans="1:6" hidden="1" x14ac:dyDescent="0.25">
      <c r="A13282" t="s">
        <v>716</v>
      </c>
      <c r="B13282" t="s">
        <v>62</v>
      </c>
      <c r="E13282" s="3">
        <f>HYPERLINK("https://sao.dolgi.msk.ru/account/1404214966/", 1404214966)</f>
        <v>1404214966</v>
      </c>
      <c r="F13282">
        <v>-1174</v>
      </c>
    </row>
    <row r="13283" spans="1:6" hidden="1" x14ac:dyDescent="0.25">
      <c r="A13283" t="s">
        <v>716</v>
      </c>
      <c r="B13283" t="s">
        <v>63</v>
      </c>
      <c r="E13283" s="3">
        <f>HYPERLINK("https://sao.dolgi.msk.ru/account/1404215395/", 1404215395)</f>
        <v>1404215395</v>
      </c>
      <c r="F13283">
        <v>-2229</v>
      </c>
    </row>
    <row r="13284" spans="1:6" hidden="1" x14ac:dyDescent="0.25">
      <c r="A13284" t="s">
        <v>716</v>
      </c>
      <c r="B13284" t="s">
        <v>64</v>
      </c>
      <c r="E13284" s="3">
        <f>HYPERLINK("https://sao.dolgi.msk.ru/account/1404214704/", 1404214704)</f>
        <v>1404214704</v>
      </c>
      <c r="F13284">
        <v>0</v>
      </c>
    </row>
    <row r="13285" spans="1:6" hidden="1" x14ac:dyDescent="0.25">
      <c r="A13285" t="s">
        <v>716</v>
      </c>
      <c r="B13285" t="s">
        <v>64</v>
      </c>
      <c r="E13285" s="3">
        <f>HYPERLINK("https://sao.dolgi.msk.ru/account/1404214755/", 1404214755)</f>
        <v>1404214755</v>
      </c>
      <c r="F13285">
        <v>0</v>
      </c>
    </row>
    <row r="13286" spans="1:6" x14ac:dyDescent="0.25">
      <c r="A13286" t="s">
        <v>716</v>
      </c>
      <c r="B13286" t="s">
        <v>65</v>
      </c>
      <c r="C13286" s="5" t="str">
        <f>" кв. "&amp;B13286</f>
        <v xml:space="preserve"> кв. 61</v>
      </c>
      <c r="D13286" s="5" t="str">
        <f>CONCATENATE(A13286,C13286)</f>
        <v>Фестивальная ул., дом 39 к.1 кв. 61</v>
      </c>
      <c r="E13286" s="3">
        <f>HYPERLINK("https://sao.dolgi.msk.ru/account/1404214974/", 1404214974)</f>
        <v>1404214974</v>
      </c>
      <c r="F13286">
        <v>1091.23</v>
      </c>
    </row>
    <row r="13287" spans="1:6" hidden="1" x14ac:dyDescent="0.25">
      <c r="A13287" t="s">
        <v>716</v>
      </c>
      <c r="B13287" t="s">
        <v>66</v>
      </c>
      <c r="E13287" s="3">
        <f>HYPERLINK("https://sao.dolgi.msk.ru/account/1404214982/", 1404214982)</f>
        <v>1404214982</v>
      </c>
      <c r="F13287">
        <v>0</v>
      </c>
    </row>
    <row r="13288" spans="1:6" hidden="1" x14ac:dyDescent="0.25">
      <c r="A13288" t="s">
        <v>716</v>
      </c>
      <c r="B13288" t="s">
        <v>67</v>
      </c>
      <c r="E13288" s="3">
        <f>HYPERLINK("https://sao.dolgi.msk.ru/account/1404215002/", 1404215002)</f>
        <v>1404215002</v>
      </c>
      <c r="F13288">
        <v>-845.84</v>
      </c>
    </row>
    <row r="13289" spans="1:6" hidden="1" x14ac:dyDescent="0.25">
      <c r="A13289" t="s">
        <v>716</v>
      </c>
      <c r="B13289" t="s">
        <v>68</v>
      </c>
      <c r="E13289" s="3">
        <f>HYPERLINK("https://sao.dolgi.msk.ru/account/1404215029/", 1404215029)</f>
        <v>1404215029</v>
      </c>
      <c r="F13289">
        <v>-1603.86</v>
      </c>
    </row>
    <row r="13290" spans="1:6" x14ac:dyDescent="0.25">
      <c r="A13290" t="s">
        <v>716</v>
      </c>
      <c r="B13290" t="s">
        <v>69</v>
      </c>
      <c r="C13290" s="5" t="str">
        <f t="shared" ref="C13290:C13291" si="541">" кв. "&amp;B13290</f>
        <v xml:space="preserve"> кв. 65</v>
      </c>
      <c r="D13290" s="5" t="str">
        <f>CONCATENATE(A13290,C13290)</f>
        <v>Фестивальная ул., дом 39 к.1 кв. 65</v>
      </c>
      <c r="E13290" s="3">
        <f>HYPERLINK("https://sao.dolgi.msk.ru/account/1404214763/", 1404214763)</f>
        <v>1404214763</v>
      </c>
      <c r="F13290">
        <v>803.4</v>
      </c>
    </row>
    <row r="13291" spans="1:6" x14ac:dyDescent="0.25">
      <c r="A13291" t="s">
        <v>716</v>
      </c>
      <c r="B13291" t="s">
        <v>70</v>
      </c>
      <c r="C13291" s="5" t="str">
        <f t="shared" si="541"/>
        <v xml:space="preserve"> кв. 66</v>
      </c>
      <c r="D13291" s="5" t="str">
        <f>CONCATENATE(A13291,C13291)</f>
        <v>Фестивальная ул., дом 39 к.1 кв. 66</v>
      </c>
      <c r="E13291" s="3">
        <f>HYPERLINK("https://sao.dolgi.msk.ru/account/1404214843/", 1404214843)</f>
        <v>1404214843</v>
      </c>
      <c r="F13291">
        <v>2062.2800000000002</v>
      </c>
    </row>
    <row r="13292" spans="1:6" hidden="1" x14ac:dyDescent="0.25">
      <c r="A13292" t="s">
        <v>716</v>
      </c>
      <c r="B13292" t="s">
        <v>71</v>
      </c>
      <c r="E13292" s="3">
        <f>HYPERLINK("https://sao.dolgi.msk.ru/account/1404214771/", 1404214771)</f>
        <v>1404214771</v>
      </c>
      <c r="F13292">
        <v>-1842.56</v>
      </c>
    </row>
    <row r="13293" spans="1:6" hidden="1" x14ac:dyDescent="0.25">
      <c r="A13293" t="s">
        <v>716</v>
      </c>
      <c r="B13293" t="s">
        <v>72</v>
      </c>
      <c r="E13293" s="3">
        <f>HYPERLINK("https://sao.dolgi.msk.ru/account/1404215504/", 1404215504)</f>
        <v>1404215504</v>
      </c>
      <c r="F13293">
        <v>-1432.17</v>
      </c>
    </row>
    <row r="13294" spans="1:6" x14ac:dyDescent="0.25">
      <c r="A13294" t="s">
        <v>716</v>
      </c>
      <c r="B13294" t="s">
        <v>73</v>
      </c>
      <c r="C13294" s="5" t="str">
        <f t="shared" ref="C13294:C13295" si="542">" кв. "&amp;B13294</f>
        <v xml:space="preserve"> кв. 69</v>
      </c>
      <c r="D13294" s="5" t="str">
        <f>CONCATENATE(A13294,C13294)</f>
        <v>Фестивальная ул., дом 39 к.1 кв. 69</v>
      </c>
      <c r="E13294" s="3">
        <f>HYPERLINK("https://sao.dolgi.msk.ru/account/1404215037/", 1404215037)</f>
        <v>1404215037</v>
      </c>
      <c r="F13294">
        <v>1110.21</v>
      </c>
    </row>
    <row r="13295" spans="1:6" x14ac:dyDescent="0.25">
      <c r="A13295" t="s">
        <v>716</v>
      </c>
      <c r="B13295" t="s">
        <v>74</v>
      </c>
      <c r="C13295" s="5" t="str">
        <f t="shared" si="542"/>
        <v xml:space="preserve"> кв. 70</v>
      </c>
      <c r="D13295" s="5" t="str">
        <f>CONCATENATE(A13295,C13295)</f>
        <v>Фестивальная ул., дом 39 к.1 кв. 70</v>
      </c>
      <c r="E13295" s="3">
        <f>HYPERLINK("https://sao.dolgi.msk.ru/account/1404215408/", 1404215408)</f>
        <v>1404215408</v>
      </c>
      <c r="F13295">
        <v>1107.05</v>
      </c>
    </row>
    <row r="13296" spans="1:6" hidden="1" x14ac:dyDescent="0.25">
      <c r="A13296" t="s">
        <v>716</v>
      </c>
      <c r="B13296" t="s">
        <v>75</v>
      </c>
      <c r="E13296" s="3">
        <f>HYPERLINK("https://sao.dolgi.msk.ru/account/1404215168/", 1404215168)</f>
        <v>1404215168</v>
      </c>
      <c r="F13296">
        <v>-821.04</v>
      </c>
    </row>
    <row r="13297" spans="1:6" x14ac:dyDescent="0.25">
      <c r="A13297" t="s">
        <v>716</v>
      </c>
      <c r="B13297" t="s">
        <v>76</v>
      </c>
      <c r="C13297" s="5" t="str">
        <f t="shared" ref="C13297:C13298" si="543">" кв. "&amp;B13297</f>
        <v xml:space="preserve"> кв. 72</v>
      </c>
      <c r="D13297" s="5" t="str">
        <f>CONCATENATE(A13297,C13297)</f>
        <v>Фестивальная ул., дом 39 к.1 кв. 72</v>
      </c>
      <c r="E13297" s="3">
        <f>HYPERLINK("https://sao.dolgi.msk.ru/account/1404215512/", 1404215512)</f>
        <v>1404215512</v>
      </c>
      <c r="F13297">
        <v>809.73</v>
      </c>
    </row>
    <row r="13298" spans="1:6" x14ac:dyDescent="0.25">
      <c r="A13298" t="s">
        <v>716</v>
      </c>
      <c r="B13298" t="s">
        <v>77</v>
      </c>
      <c r="C13298" s="5" t="str">
        <f t="shared" si="543"/>
        <v xml:space="preserve"> кв. 73</v>
      </c>
      <c r="D13298" s="5" t="str">
        <f>CONCATENATE(A13298,C13298)</f>
        <v>Фестивальная ул., дом 39 к.1 кв. 73</v>
      </c>
      <c r="E13298" s="3">
        <f>HYPERLINK("https://sao.dolgi.msk.ru/account/1404215416/", 1404215416)</f>
        <v>1404215416</v>
      </c>
      <c r="F13298">
        <v>2046.46</v>
      </c>
    </row>
    <row r="13299" spans="1:6" hidden="1" x14ac:dyDescent="0.25">
      <c r="A13299" t="s">
        <v>716</v>
      </c>
      <c r="B13299" t="s">
        <v>78</v>
      </c>
      <c r="E13299" s="3">
        <f>HYPERLINK("https://sao.dolgi.msk.ru/account/1404214616/", 1404214616)</f>
        <v>1404214616</v>
      </c>
      <c r="F13299">
        <v>-2588.64</v>
      </c>
    </row>
    <row r="13300" spans="1:6" hidden="1" x14ac:dyDescent="0.25">
      <c r="A13300" t="s">
        <v>716</v>
      </c>
      <c r="B13300" t="s">
        <v>79</v>
      </c>
      <c r="E13300" s="3">
        <f>HYPERLINK("https://sao.dolgi.msk.ru/account/1404214624/", 1404214624)</f>
        <v>1404214624</v>
      </c>
      <c r="F13300">
        <v>-1531.39</v>
      </c>
    </row>
    <row r="13301" spans="1:6" hidden="1" x14ac:dyDescent="0.25">
      <c r="A13301" t="s">
        <v>716</v>
      </c>
      <c r="B13301" t="s">
        <v>79</v>
      </c>
      <c r="E13301" s="3">
        <f>HYPERLINK("https://sao.dolgi.msk.ru/account/1404215432/", 1404215432)</f>
        <v>1404215432</v>
      </c>
      <c r="F13301">
        <v>-788.9</v>
      </c>
    </row>
    <row r="13302" spans="1:6" hidden="1" x14ac:dyDescent="0.25">
      <c r="A13302" t="s">
        <v>716</v>
      </c>
      <c r="B13302" t="s">
        <v>80</v>
      </c>
      <c r="E13302" s="3">
        <f>HYPERLINK("https://sao.dolgi.msk.ru/account/1404214632/", 1404214632)</f>
        <v>1404214632</v>
      </c>
      <c r="F13302">
        <v>-1636.22</v>
      </c>
    </row>
    <row r="13303" spans="1:6" hidden="1" x14ac:dyDescent="0.25">
      <c r="A13303" t="s">
        <v>716</v>
      </c>
      <c r="B13303" t="s">
        <v>81</v>
      </c>
      <c r="E13303" s="3">
        <f>HYPERLINK("https://sao.dolgi.msk.ru/account/1404215424/", 1404215424)</f>
        <v>1404215424</v>
      </c>
      <c r="F13303">
        <v>-873.58</v>
      </c>
    </row>
    <row r="13304" spans="1:6" x14ac:dyDescent="0.25">
      <c r="A13304" t="s">
        <v>716</v>
      </c>
      <c r="B13304" t="s">
        <v>82</v>
      </c>
      <c r="C13304" s="5" t="str">
        <f>" кв. "&amp;B13304</f>
        <v xml:space="preserve"> кв. 78</v>
      </c>
      <c r="D13304" s="5" t="str">
        <f>CONCATENATE(A13304,C13304)</f>
        <v>Фестивальная ул., дом 39 к.1 кв. 78</v>
      </c>
      <c r="E13304" s="3">
        <f>HYPERLINK("https://sao.dolgi.msk.ru/account/1404215045/", 1404215045)</f>
        <v>1404215045</v>
      </c>
      <c r="F13304">
        <v>1110.21</v>
      </c>
    </row>
    <row r="13305" spans="1:6" hidden="1" x14ac:dyDescent="0.25">
      <c r="A13305" t="s">
        <v>716</v>
      </c>
      <c r="B13305" t="s">
        <v>83</v>
      </c>
      <c r="E13305" s="3">
        <f>HYPERLINK("https://sao.dolgi.msk.ru/account/1404215053/", 1404215053)</f>
        <v>1404215053</v>
      </c>
      <c r="F13305">
        <v>0</v>
      </c>
    </row>
    <row r="13306" spans="1:6" hidden="1" x14ac:dyDescent="0.25">
      <c r="A13306" t="s">
        <v>716</v>
      </c>
      <c r="B13306" t="s">
        <v>84</v>
      </c>
      <c r="E13306" s="3">
        <f>HYPERLINK("https://sao.dolgi.msk.ru/account/1404215539/", 1404215539)</f>
        <v>1404215539</v>
      </c>
      <c r="F13306">
        <v>-2981.24</v>
      </c>
    </row>
    <row r="13307" spans="1:6" hidden="1" x14ac:dyDescent="0.25">
      <c r="A13307" t="s">
        <v>717</v>
      </c>
      <c r="B13307" t="s">
        <v>5</v>
      </c>
      <c r="E13307" s="3">
        <f>HYPERLINK("https://sao.dolgi.msk.ru/account/1404149746/", 1404149746)</f>
        <v>1404149746</v>
      </c>
      <c r="F13307">
        <v>-8560.35</v>
      </c>
    </row>
    <row r="13308" spans="1:6" hidden="1" x14ac:dyDescent="0.25">
      <c r="A13308" t="s">
        <v>717</v>
      </c>
      <c r="B13308" t="s">
        <v>6</v>
      </c>
      <c r="E13308" s="3">
        <f>HYPERLINK("https://sao.dolgi.msk.ru/account/1404098854/", 1404098854)</f>
        <v>1404098854</v>
      </c>
      <c r="F13308">
        <v>-3766.35</v>
      </c>
    </row>
    <row r="13309" spans="1:6" hidden="1" x14ac:dyDescent="0.25">
      <c r="A13309" t="s">
        <v>717</v>
      </c>
      <c r="B13309" t="s">
        <v>7</v>
      </c>
      <c r="E13309" s="3">
        <f>HYPERLINK("https://sao.dolgi.msk.ru/account/1404140311/", 1404140311)</f>
        <v>1404140311</v>
      </c>
      <c r="F13309">
        <v>-4214.97</v>
      </c>
    </row>
    <row r="13310" spans="1:6" hidden="1" x14ac:dyDescent="0.25">
      <c r="A13310" t="s">
        <v>717</v>
      </c>
      <c r="B13310" t="s">
        <v>8</v>
      </c>
      <c r="E13310" s="3">
        <f>HYPERLINK("https://sao.dolgi.msk.ru/account/1404091791/", 1404091791)</f>
        <v>1404091791</v>
      </c>
      <c r="F13310">
        <v>-6218.1</v>
      </c>
    </row>
    <row r="13311" spans="1:6" hidden="1" x14ac:dyDescent="0.25">
      <c r="A13311" t="s">
        <v>717</v>
      </c>
      <c r="B13311" t="s">
        <v>9</v>
      </c>
      <c r="E13311" s="3">
        <f>HYPERLINK("https://sao.dolgi.msk.ru/account/1404098993/", 1404098993)</f>
        <v>1404098993</v>
      </c>
      <c r="F13311">
        <v>-3811.9</v>
      </c>
    </row>
    <row r="13312" spans="1:6" hidden="1" x14ac:dyDescent="0.25">
      <c r="A13312" t="s">
        <v>717</v>
      </c>
      <c r="B13312" t="s">
        <v>10</v>
      </c>
      <c r="E13312" s="3">
        <f>HYPERLINK("https://sao.dolgi.msk.ru/account/1404092284/", 1404092284)</f>
        <v>1404092284</v>
      </c>
      <c r="F13312">
        <v>-7451.27</v>
      </c>
    </row>
    <row r="13313" spans="1:6" hidden="1" x14ac:dyDescent="0.25">
      <c r="A13313" t="s">
        <v>717</v>
      </c>
      <c r="B13313" t="s">
        <v>11</v>
      </c>
      <c r="E13313" s="3">
        <f>HYPERLINK("https://sao.dolgi.msk.ru/account/1404099005/", 1404099005)</f>
        <v>1404099005</v>
      </c>
      <c r="F13313">
        <v>-5756.58</v>
      </c>
    </row>
    <row r="13314" spans="1:6" hidden="1" x14ac:dyDescent="0.25">
      <c r="A13314" t="s">
        <v>717</v>
      </c>
      <c r="B13314" t="s">
        <v>12</v>
      </c>
      <c r="E13314" s="3">
        <f>HYPERLINK("https://sao.dolgi.msk.ru/account/1404140338/", 1404140338)</f>
        <v>1404140338</v>
      </c>
      <c r="F13314">
        <v>-4708.18</v>
      </c>
    </row>
    <row r="13315" spans="1:6" x14ac:dyDescent="0.25">
      <c r="A13315" t="s">
        <v>717</v>
      </c>
      <c r="B13315" t="s">
        <v>13</v>
      </c>
      <c r="C13315" s="5" t="str">
        <f>" кв. "&amp;B13315</f>
        <v xml:space="preserve"> кв. 9</v>
      </c>
      <c r="D13315" s="5" t="str">
        <f>CONCATENATE(A13315,C13315)</f>
        <v>Фестивальная ул., дом 41 к.1 кв. 9</v>
      </c>
      <c r="E13315" s="3">
        <f>HYPERLINK("https://sao.dolgi.msk.ru/account/1404099072/", 1404099072)</f>
        <v>1404099072</v>
      </c>
      <c r="F13315">
        <v>5806.67</v>
      </c>
    </row>
    <row r="13316" spans="1:6" hidden="1" x14ac:dyDescent="0.25">
      <c r="A13316" t="s">
        <v>717</v>
      </c>
      <c r="B13316" t="s">
        <v>14</v>
      </c>
      <c r="E13316" s="3">
        <f>HYPERLINK("https://sao.dolgi.msk.ru/account/1404092612/", 1404092612)</f>
        <v>1404092612</v>
      </c>
      <c r="F13316">
        <v>-5931.32</v>
      </c>
    </row>
    <row r="13317" spans="1:6" hidden="1" x14ac:dyDescent="0.25">
      <c r="A13317" t="s">
        <v>717</v>
      </c>
      <c r="B13317" t="s">
        <v>15</v>
      </c>
      <c r="E13317" s="3">
        <f>HYPERLINK("https://sao.dolgi.msk.ru/account/1404092049/", 1404092049)</f>
        <v>1404092049</v>
      </c>
      <c r="F13317">
        <v>-13756.64</v>
      </c>
    </row>
    <row r="13318" spans="1:6" hidden="1" x14ac:dyDescent="0.25">
      <c r="A13318" t="s">
        <v>717</v>
      </c>
      <c r="B13318" t="s">
        <v>16</v>
      </c>
      <c r="E13318" s="3">
        <f>HYPERLINK("https://sao.dolgi.msk.ru/account/1404091564/", 1404091564)</f>
        <v>1404091564</v>
      </c>
      <c r="F13318">
        <v>-4987.28</v>
      </c>
    </row>
    <row r="13319" spans="1:6" hidden="1" x14ac:dyDescent="0.25">
      <c r="A13319" t="s">
        <v>717</v>
      </c>
      <c r="B13319" t="s">
        <v>17</v>
      </c>
      <c r="E13319" s="3">
        <f>HYPERLINK("https://sao.dolgi.msk.ru/account/1404140055/", 1404140055)</f>
        <v>1404140055</v>
      </c>
      <c r="F13319">
        <v>-421.12</v>
      </c>
    </row>
    <row r="13320" spans="1:6" hidden="1" x14ac:dyDescent="0.25">
      <c r="A13320" t="s">
        <v>717</v>
      </c>
      <c r="B13320" t="s">
        <v>18</v>
      </c>
      <c r="E13320" s="3">
        <f>HYPERLINK("https://sao.dolgi.msk.ru/account/1404091476/", 1404091476)</f>
        <v>1404091476</v>
      </c>
      <c r="F13320">
        <v>0</v>
      </c>
    </row>
    <row r="13321" spans="1:6" hidden="1" x14ac:dyDescent="0.25">
      <c r="A13321" t="s">
        <v>717</v>
      </c>
      <c r="B13321" t="s">
        <v>19</v>
      </c>
      <c r="E13321" s="3">
        <f>HYPERLINK("https://sao.dolgi.msk.ru/account/1404092073/", 1404092073)</f>
        <v>1404092073</v>
      </c>
      <c r="F13321">
        <v>-3099.43</v>
      </c>
    </row>
    <row r="13322" spans="1:6" hidden="1" x14ac:dyDescent="0.25">
      <c r="A13322" t="s">
        <v>717</v>
      </c>
      <c r="B13322" t="s">
        <v>20</v>
      </c>
      <c r="E13322" s="3">
        <f>HYPERLINK("https://sao.dolgi.msk.ru/account/1404092858/", 1404092858)</f>
        <v>1404092858</v>
      </c>
      <c r="F13322">
        <v>-5969.55</v>
      </c>
    </row>
    <row r="13323" spans="1:6" hidden="1" x14ac:dyDescent="0.25">
      <c r="A13323" t="s">
        <v>717</v>
      </c>
      <c r="B13323" t="s">
        <v>21</v>
      </c>
      <c r="E13323" s="3">
        <f>HYPERLINK("https://sao.dolgi.msk.ru/account/1404092057/", 1404092057)</f>
        <v>1404092057</v>
      </c>
      <c r="F13323">
        <v>-3695.45</v>
      </c>
    </row>
    <row r="13324" spans="1:6" x14ac:dyDescent="0.25">
      <c r="A13324" t="s">
        <v>717</v>
      </c>
      <c r="B13324" t="s">
        <v>22</v>
      </c>
      <c r="C13324" s="5" t="str">
        <f>" кв. "&amp;B13324</f>
        <v xml:space="preserve"> кв. 18</v>
      </c>
      <c r="D13324" s="5" t="str">
        <f>CONCATENATE(A13324,C13324)</f>
        <v>Фестивальная ул., дом 41 к.1 кв. 18</v>
      </c>
      <c r="E13324" s="3">
        <f>HYPERLINK("https://sao.dolgi.msk.ru/account/1404140098/", 1404140098)</f>
        <v>1404140098</v>
      </c>
      <c r="F13324">
        <v>24663.03</v>
      </c>
    </row>
    <row r="13325" spans="1:6" hidden="1" x14ac:dyDescent="0.25">
      <c r="A13325" t="s">
        <v>717</v>
      </c>
      <c r="B13325" t="s">
        <v>23</v>
      </c>
      <c r="E13325" s="3">
        <f>HYPERLINK("https://sao.dolgi.msk.ru/account/1404091898/", 1404091898)</f>
        <v>1404091898</v>
      </c>
      <c r="F13325">
        <v>-3135.69</v>
      </c>
    </row>
    <row r="13326" spans="1:6" hidden="1" x14ac:dyDescent="0.25">
      <c r="A13326" t="s">
        <v>717</v>
      </c>
      <c r="B13326" t="s">
        <v>24</v>
      </c>
      <c r="E13326" s="3">
        <f>HYPERLINK("https://sao.dolgi.msk.ru/account/1404092559/", 1404092559)</f>
        <v>1404092559</v>
      </c>
      <c r="F13326">
        <v>-5578.17</v>
      </c>
    </row>
    <row r="13327" spans="1:6" hidden="1" x14ac:dyDescent="0.25">
      <c r="A13327" t="s">
        <v>717</v>
      </c>
      <c r="B13327" t="s">
        <v>25</v>
      </c>
      <c r="E13327" s="3">
        <f>HYPERLINK("https://sao.dolgi.msk.ru/account/1404092161/", 1404092161)</f>
        <v>1404092161</v>
      </c>
      <c r="F13327">
        <v>-14295.21</v>
      </c>
    </row>
    <row r="13328" spans="1:6" hidden="1" x14ac:dyDescent="0.25">
      <c r="A13328" t="s">
        <v>717</v>
      </c>
      <c r="B13328" t="s">
        <v>26</v>
      </c>
      <c r="E13328" s="3">
        <f>HYPERLINK("https://sao.dolgi.msk.ru/account/1404091556/", 1404091556)</f>
        <v>1404091556</v>
      </c>
      <c r="F13328">
        <v>-2667.74</v>
      </c>
    </row>
    <row r="13329" spans="1:6" hidden="1" x14ac:dyDescent="0.25">
      <c r="A13329" t="s">
        <v>717</v>
      </c>
      <c r="B13329" t="s">
        <v>27</v>
      </c>
      <c r="E13329" s="3">
        <f>HYPERLINK("https://sao.dolgi.msk.ru/account/1404140151/", 1404140151)</f>
        <v>1404140151</v>
      </c>
      <c r="F13329">
        <v>-5201.96</v>
      </c>
    </row>
    <row r="13330" spans="1:6" hidden="1" x14ac:dyDescent="0.25">
      <c r="A13330" t="s">
        <v>717</v>
      </c>
      <c r="B13330" t="s">
        <v>28</v>
      </c>
      <c r="E13330" s="3">
        <f>HYPERLINK("https://sao.dolgi.msk.ru/account/1404093287/", 1404093287)</f>
        <v>1404093287</v>
      </c>
      <c r="F13330">
        <v>-4269.7</v>
      </c>
    </row>
    <row r="13331" spans="1:6" hidden="1" x14ac:dyDescent="0.25">
      <c r="A13331" t="s">
        <v>717</v>
      </c>
      <c r="B13331" t="s">
        <v>29</v>
      </c>
      <c r="E13331" s="3">
        <f>HYPERLINK("https://sao.dolgi.msk.ru/account/1404092655/", 1404092655)</f>
        <v>1404092655</v>
      </c>
      <c r="F13331">
        <v>-2703.44</v>
      </c>
    </row>
    <row r="13332" spans="1:6" hidden="1" x14ac:dyDescent="0.25">
      <c r="A13332" t="s">
        <v>717</v>
      </c>
      <c r="B13332" t="s">
        <v>30</v>
      </c>
      <c r="E13332" s="3">
        <f>HYPERLINK("https://sao.dolgi.msk.ru/account/1404091679/", 1404091679)</f>
        <v>1404091679</v>
      </c>
      <c r="F13332">
        <v>0</v>
      </c>
    </row>
    <row r="13333" spans="1:6" hidden="1" x14ac:dyDescent="0.25">
      <c r="A13333" t="s">
        <v>717</v>
      </c>
      <c r="B13333" t="s">
        <v>31</v>
      </c>
      <c r="E13333" s="3">
        <f>HYPERLINK("https://sao.dolgi.msk.ru/account/1404091441/", 1404091441)</f>
        <v>1404091441</v>
      </c>
      <c r="F13333">
        <v>-4422.76</v>
      </c>
    </row>
    <row r="13334" spans="1:6" hidden="1" x14ac:dyDescent="0.25">
      <c r="A13334" t="s">
        <v>717</v>
      </c>
      <c r="B13334" t="s">
        <v>32</v>
      </c>
      <c r="E13334" s="3">
        <f>HYPERLINK("https://sao.dolgi.msk.ru/account/1404097843/", 1404097843)</f>
        <v>1404097843</v>
      </c>
      <c r="F13334">
        <v>-3531.57</v>
      </c>
    </row>
    <row r="13335" spans="1:6" x14ac:dyDescent="0.25">
      <c r="A13335" t="s">
        <v>717</v>
      </c>
      <c r="B13335" t="s">
        <v>33</v>
      </c>
      <c r="C13335" s="5" t="str">
        <f>" кв. "&amp;B13335</f>
        <v xml:space="preserve"> кв. 29</v>
      </c>
      <c r="D13335" s="5" t="str">
        <f>CONCATENATE(A13335,C13335)</f>
        <v>Фестивальная ул., дом 41 к.1 кв. 29</v>
      </c>
      <c r="E13335" s="3">
        <f>HYPERLINK("https://sao.dolgi.msk.ru/account/1404092225/", 1404092225)</f>
        <v>1404092225</v>
      </c>
      <c r="F13335">
        <v>4394.8500000000004</v>
      </c>
    </row>
    <row r="13336" spans="1:6" hidden="1" x14ac:dyDescent="0.25">
      <c r="A13336" t="s">
        <v>717</v>
      </c>
      <c r="B13336" t="s">
        <v>34</v>
      </c>
      <c r="E13336" s="3">
        <f>HYPERLINK("https://sao.dolgi.msk.ru/account/1404091978/", 1404091978)</f>
        <v>1404091978</v>
      </c>
      <c r="F13336">
        <v>-11508.22</v>
      </c>
    </row>
    <row r="13337" spans="1:6" hidden="1" x14ac:dyDescent="0.25">
      <c r="A13337" t="s">
        <v>717</v>
      </c>
      <c r="B13337" t="s">
        <v>35</v>
      </c>
      <c r="E13337" s="3">
        <f>HYPERLINK("https://sao.dolgi.msk.ru/account/1404097755/", 1404097755)</f>
        <v>1404097755</v>
      </c>
      <c r="F13337">
        <v>-10085.629999999999</v>
      </c>
    </row>
    <row r="13338" spans="1:6" hidden="1" x14ac:dyDescent="0.25">
      <c r="A13338" t="s">
        <v>717</v>
      </c>
      <c r="B13338" t="s">
        <v>36</v>
      </c>
      <c r="E13338" s="3">
        <f>HYPERLINK("https://sao.dolgi.msk.ru/account/1404092217/", 1404092217)</f>
        <v>1404092217</v>
      </c>
      <c r="F13338">
        <v>-4462.9799999999996</v>
      </c>
    </row>
    <row r="13339" spans="1:6" hidden="1" x14ac:dyDescent="0.25">
      <c r="A13339" t="s">
        <v>717</v>
      </c>
      <c r="B13339" t="s">
        <v>37</v>
      </c>
      <c r="E13339" s="3">
        <f>HYPERLINK("https://sao.dolgi.msk.ru/account/1404154537/", 1404154537)</f>
        <v>1404154537</v>
      </c>
      <c r="F13339">
        <v>-4058.17</v>
      </c>
    </row>
    <row r="13340" spans="1:6" hidden="1" x14ac:dyDescent="0.25">
      <c r="A13340" t="s">
        <v>717</v>
      </c>
      <c r="B13340" t="s">
        <v>38</v>
      </c>
      <c r="E13340" s="3">
        <f>HYPERLINK("https://sao.dolgi.msk.ru/account/1404092903/", 1404092903)</f>
        <v>1404092903</v>
      </c>
      <c r="F13340">
        <v>-4932.07</v>
      </c>
    </row>
    <row r="13341" spans="1:6" hidden="1" x14ac:dyDescent="0.25">
      <c r="A13341" t="s">
        <v>717</v>
      </c>
      <c r="B13341" t="s">
        <v>39</v>
      </c>
      <c r="E13341" s="3">
        <f>HYPERLINK("https://sao.dolgi.msk.ru/account/1404092823/", 1404092823)</f>
        <v>1404092823</v>
      </c>
      <c r="F13341">
        <v>-5909.73</v>
      </c>
    </row>
    <row r="13342" spans="1:6" x14ac:dyDescent="0.25">
      <c r="A13342" t="s">
        <v>717</v>
      </c>
      <c r="B13342" t="s">
        <v>40</v>
      </c>
      <c r="C13342" s="5" t="str">
        <f>" кв. "&amp;B13342</f>
        <v xml:space="preserve"> кв. 36</v>
      </c>
      <c r="D13342" s="5" t="str">
        <f>CONCATENATE(A13342,C13342)</f>
        <v>Фестивальная ул., дом 41 к.1 кв. 36</v>
      </c>
      <c r="E13342" s="3">
        <f>HYPERLINK("https://sao.dolgi.msk.ru/account/1404092348/", 1404092348)</f>
        <v>1404092348</v>
      </c>
      <c r="F13342">
        <v>100116.35</v>
      </c>
    </row>
    <row r="13343" spans="1:6" hidden="1" x14ac:dyDescent="0.25">
      <c r="A13343" t="s">
        <v>717</v>
      </c>
      <c r="B13343" t="s">
        <v>41</v>
      </c>
      <c r="E13343" s="3">
        <f>HYPERLINK("https://sao.dolgi.msk.ru/account/1404093244/", 1404093244)</f>
        <v>1404093244</v>
      </c>
      <c r="F13343">
        <v>-4496.7700000000004</v>
      </c>
    </row>
    <row r="13344" spans="1:6" hidden="1" x14ac:dyDescent="0.25">
      <c r="A13344" t="s">
        <v>717</v>
      </c>
      <c r="B13344" t="s">
        <v>42</v>
      </c>
      <c r="E13344" s="3">
        <f>HYPERLINK("https://sao.dolgi.msk.ru/account/1404092014/", 1404092014)</f>
        <v>1404092014</v>
      </c>
      <c r="F13344">
        <v>-3562.61</v>
      </c>
    </row>
    <row r="13345" spans="1:6" x14ac:dyDescent="0.25">
      <c r="A13345" t="s">
        <v>717</v>
      </c>
      <c r="B13345" t="s">
        <v>43</v>
      </c>
      <c r="C13345" s="5" t="str">
        <f>" кв. "&amp;B13345</f>
        <v xml:space="preserve"> кв. 39</v>
      </c>
      <c r="D13345" s="5" t="str">
        <f>CONCATENATE(A13345,C13345)</f>
        <v>Фестивальная ул., дом 41 к.1 кв. 39</v>
      </c>
      <c r="E13345" s="3">
        <f>HYPERLINK("https://sao.dolgi.msk.ru/account/1404096058/", 1404096058)</f>
        <v>1404096058</v>
      </c>
      <c r="F13345">
        <v>87458.85</v>
      </c>
    </row>
    <row r="13346" spans="1:6" hidden="1" x14ac:dyDescent="0.25">
      <c r="A13346" t="s">
        <v>717</v>
      </c>
      <c r="B13346" t="s">
        <v>44</v>
      </c>
      <c r="E13346" s="3">
        <f>HYPERLINK("https://sao.dolgi.msk.ru/account/1404091775/", 1404091775)</f>
        <v>1404091775</v>
      </c>
      <c r="F13346">
        <v>0</v>
      </c>
    </row>
    <row r="13347" spans="1:6" hidden="1" x14ac:dyDescent="0.25">
      <c r="A13347" t="s">
        <v>717</v>
      </c>
      <c r="B13347" t="s">
        <v>45</v>
      </c>
      <c r="E13347" s="3">
        <f>HYPERLINK("https://sao.dolgi.msk.ru/account/1404092129/", 1404092129)</f>
        <v>1404092129</v>
      </c>
      <c r="F13347">
        <v>-8011.95</v>
      </c>
    </row>
    <row r="13348" spans="1:6" hidden="1" x14ac:dyDescent="0.25">
      <c r="A13348" t="s">
        <v>717</v>
      </c>
      <c r="B13348" t="s">
        <v>46</v>
      </c>
      <c r="E13348" s="3">
        <f>HYPERLINK("https://sao.dolgi.msk.ru/account/1404091628/", 1404091628)</f>
        <v>1404091628</v>
      </c>
      <c r="F13348">
        <v>-4876.28</v>
      </c>
    </row>
    <row r="13349" spans="1:6" hidden="1" x14ac:dyDescent="0.25">
      <c r="A13349" t="s">
        <v>717</v>
      </c>
      <c r="B13349" t="s">
        <v>47</v>
      </c>
      <c r="E13349" s="3">
        <f>HYPERLINK("https://sao.dolgi.msk.ru/account/1404092444/", 1404092444)</f>
        <v>1404092444</v>
      </c>
      <c r="F13349">
        <v>0</v>
      </c>
    </row>
    <row r="13350" spans="1:6" hidden="1" x14ac:dyDescent="0.25">
      <c r="A13350" t="s">
        <v>717</v>
      </c>
      <c r="B13350" t="s">
        <v>48</v>
      </c>
      <c r="E13350" s="3">
        <f>HYPERLINK("https://sao.dolgi.msk.ru/account/1404139791/", 1404139791)</f>
        <v>1404139791</v>
      </c>
      <c r="F13350">
        <v>-5669.36</v>
      </c>
    </row>
    <row r="13351" spans="1:6" hidden="1" x14ac:dyDescent="0.25">
      <c r="A13351" t="s">
        <v>717</v>
      </c>
      <c r="B13351" t="s">
        <v>49</v>
      </c>
      <c r="E13351" s="3">
        <f>HYPERLINK("https://sao.dolgi.msk.ru/account/1404092508/", 1404092508)</f>
        <v>1404092508</v>
      </c>
      <c r="F13351">
        <v>-3624.84</v>
      </c>
    </row>
    <row r="13352" spans="1:6" hidden="1" x14ac:dyDescent="0.25">
      <c r="A13352" t="s">
        <v>717</v>
      </c>
      <c r="B13352" t="s">
        <v>50</v>
      </c>
      <c r="E13352" s="3">
        <f>HYPERLINK("https://sao.dolgi.msk.ru/account/1404091601/", 1404091601)</f>
        <v>1404091601</v>
      </c>
      <c r="F13352">
        <v>-6779.94</v>
      </c>
    </row>
    <row r="13353" spans="1:6" x14ac:dyDescent="0.25">
      <c r="A13353" t="s">
        <v>717</v>
      </c>
      <c r="B13353" t="s">
        <v>51</v>
      </c>
      <c r="C13353" s="5" t="str">
        <f>" кв. "&amp;B13353</f>
        <v xml:space="preserve"> кв. 47</v>
      </c>
      <c r="D13353" s="5" t="str">
        <f>CONCATENATE(A13353,C13353)</f>
        <v>Фестивальная ул., дом 41 к.1 кв. 47</v>
      </c>
      <c r="E13353" s="3">
        <f>HYPERLINK("https://sao.dolgi.msk.ru/account/1404092786/", 1404092786)</f>
        <v>1404092786</v>
      </c>
      <c r="F13353">
        <v>5742.24</v>
      </c>
    </row>
    <row r="13354" spans="1:6" hidden="1" x14ac:dyDescent="0.25">
      <c r="A13354" t="s">
        <v>717</v>
      </c>
      <c r="B13354" t="s">
        <v>52</v>
      </c>
      <c r="E13354" s="3">
        <f>HYPERLINK("https://sao.dolgi.msk.ru/account/1404092356/", 1404092356)</f>
        <v>1404092356</v>
      </c>
      <c r="F13354">
        <v>0</v>
      </c>
    </row>
    <row r="13355" spans="1:6" hidden="1" x14ac:dyDescent="0.25">
      <c r="A13355" t="s">
        <v>717</v>
      </c>
      <c r="B13355" t="s">
        <v>53</v>
      </c>
      <c r="E13355" s="3">
        <f>HYPERLINK("https://sao.dolgi.msk.ru/account/1404099435/", 1404099435)</f>
        <v>1404099435</v>
      </c>
      <c r="F13355">
        <v>-6321.65</v>
      </c>
    </row>
    <row r="13356" spans="1:6" hidden="1" x14ac:dyDescent="0.25">
      <c r="A13356" t="s">
        <v>717</v>
      </c>
      <c r="B13356" t="s">
        <v>54</v>
      </c>
      <c r="E13356" s="3">
        <f>HYPERLINK("https://sao.dolgi.msk.ru/account/1404092911/", 1404092911)</f>
        <v>1404092911</v>
      </c>
      <c r="F13356">
        <v>-5752.16</v>
      </c>
    </row>
    <row r="13357" spans="1:6" hidden="1" x14ac:dyDescent="0.25">
      <c r="A13357" t="s">
        <v>717</v>
      </c>
      <c r="B13357" t="s">
        <v>55</v>
      </c>
      <c r="E13357" s="3">
        <f>HYPERLINK("https://sao.dolgi.msk.ru/account/1404092663/", 1404092663)</f>
        <v>1404092663</v>
      </c>
      <c r="F13357">
        <v>-6459.22</v>
      </c>
    </row>
    <row r="13358" spans="1:6" hidden="1" x14ac:dyDescent="0.25">
      <c r="A13358" t="s">
        <v>717</v>
      </c>
      <c r="B13358" t="s">
        <v>56</v>
      </c>
      <c r="E13358" s="3">
        <f>HYPERLINK("https://sao.dolgi.msk.ru/account/1404092866/", 1404092866)</f>
        <v>1404092866</v>
      </c>
      <c r="F13358">
        <v>-6260.23</v>
      </c>
    </row>
    <row r="13359" spans="1:6" hidden="1" x14ac:dyDescent="0.25">
      <c r="A13359" t="s">
        <v>717</v>
      </c>
      <c r="B13359" t="s">
        <v>57</v>
      </c>
      <c r="E13359" s="3">
        <f>HYPERLINK("https://sao.dolgi.msk.ru/account/1404093252/", 1404093252)</f>
        <v>1404093252</v>
      </c>
      <c r="F13359">
        <v>0</v>
      </c>
    </row>
    <row r="13360" spans="1:6" hidden="1" x14ac:dyDescent="0.25">
      <c r="A13360" t="s">
        <v>717</v>
      </c>
      <c r="B13360" t="s">
        <v>58</v>
      </c>
      <c r="E13360" s="3">
        <f>HYPERLINK("https://sao.dolgi.msk.ru/account/1404139927/", 1404139927)</f>
        <v>1404139927</v>
      </c>
      <c r="F13360">
        <v>-5207.38</v>
      </c>
    </row>
    <row r="13361" spans="1:6" hidden="1" x14ac:dyDescent="0.25">
      <c r="A13361" t="s">
        <v>717</v>
      </c>
      <c r="B13361" t="s">
        <v>59</v>
      </c>
      <c r="E13361" s="3">
        <f>HYPERLINK("https://sao.dolgi.msk.ru/account/1404091732/", 1404091732)</f>
        <v>1404091732</v>
      </c>
      <c r="F13361">
        <v>-9876.92</v>
      </c>
    </row>
    <row r="13362" spans="1:6" hidden="1" x14ac:dyDescent="0.25">
      <c r="A13362" t="s">
        <v>717</v>
      </c>
      <c r="B13362" t="s">
        <v>60</v>
      </c>
      <c r="E13362" s="3">
        <f>HYPERLINK("https://sao.dolgi.msk.ru/account/1404092364/", 1404092364)</f>
        <v>1404092364</v>
      </c>
      <c r="F13362">
        <v>-5888.66</v>
      </c>
    </row>
    <row r="13363" spans="1:6" hidden="1" x14ac:dyDescent="0.25">
      <c r="A13363" t="s">
        <v>717</v>
      </c>
      <c r="B13363" t="s">
        <v>61</v>
      </c>
      <c r="E13363" s="3">
        <f>HYPERLINK("https://sao.dolgi.msk.ru/account/1404092452/", 1404092452)</f>
        <v>1404092452</v>
      </c>
      <c r="F13363">
        <v>-7943.38</v>
      </c>
    </row>
    <row r="13364" spans="1:6" hidden="1" x14ac:dyDescent="0.25">
      <c r="A13364" t="s">
        <v>717</v>
      </c>
      <c r="B13364" t="s">
        <v>62</v>
      </c>
      <c r="E13364" s="3">
        <f>HYPERLINK("https://sao.dolgi.msk.ru/account/1404093308/", 1404093308)</f>
        <v>1404093308</v>
      </c>
      <c r="F13364">
        <v>-505.01</v>
      </c>
    </row>
    <row r="13365" spans="1:6" hidden="1" x14ac:dyDescent="0.25">
      <c r="A13365" t="s">
        <v>717</v>
      </c>
      <c r="B13365" t="s">
        <v>63</v>
      </c>
      <c r="E13365" s="3">
        <f>HYPERLINK("https://sao.dolgi.msk.ru/account/1404092006/", 1404092006)</f>
        <v>1404092006</v>
      </c>
      <c r="F13365">
        <v>0</v>
      </c>
    </row>
    <row r="13366" spans="1:6" hidden="1" x14ac:dyDescent="0.25">
      <c r="A13366" t="s">
        <v>717</v>
      </c>
      <c r="B13366" t="s">
        <v>64</v>
      </c>
      <c r="E13366" s="3">
        <f>HYPERLINK("https://sao.dolgi.msk.ru/account/1404093199/", 1404093199)</f>
        <v>1404093199</v>
      </c>
      <c r="F13366">
        <v>-7159.99</v>
      </c>
    </row>
    <row r="13367" spans="1:6" hidden="1" x14ac:dyDescent="0.25">
      <c r="A13367" t="s">
        <v>717</v>
      </c>
      <c r="B13367" t="s">
        <v>65</v>
      </c>
      <c r="E13367" s="3">
        <f>HYPERLINK("https://sao.dolgi.msk.ru/account/1404092751/", 1404092751)</f>
        <v>1404092751</v>
      </c>
      <c r="F13367">
        <v>0</v>
      </c>
    </row>
    <row r="13368" spans="1:6" hidden="1" x14ac:dyDescent="0.25">
      <c r="A13368" t="s">
        <v>717</v>
      </c>
      <c r="B13368" t="s">
        <v>66</v>
      </c>
      <c r="E13368" s="3">
        <f>HYPERLINK("https://sao.dolgi.msk.ru/account/1404092516/", 1404092516)</f>
        <v>1404092516</v>
      </c>
      <c r="F13368">
        <v>0</v>
      </c>
    </row>
    <row r="13369" spans="1:6" hidden="1" x14ac:dyDescent="0.25">
      <c r="A13369" t="s">
        <v>717</v>
      </c>
      <c r="B13369" t="s">
        <v>67</v>
      </c>
      <c r="E13369" s="3">
        <f>HYPERLINK("https://sao.dolgi.msk.ru/account/1404095987/", 1404095987)</f>
        <v>1404095987</v>
      </c>
      <c r="F13369">
        <v>-2785.86</v>
      </c>
    </row>
    <row r="13370" spans="1:6" hidden="1" x14ac:dyDescent="0.25">
      <c r="A13370" t="s">
        <v>717</v>
      </c>
      <c r="B13370" t="s">
        <v>68</v>
      </c>
      <c r="E13370" s="3">
        <f>HYPERLINK("https://sao.dolgi.msk.ru/account/1404092081/", 1404092081)</f>
        <v>1404092081</v>
      </c>
      <c r="F13370">
        <v>-5368.3</v>
      </c>
    </row>
    <row r="13371" spans="1:6" hidden="1" x14ac:dyDescent="0.25">
      <c r="A13371" t="s">
        <v>717</v>
      </c>
      <c r="B13371" t="s">
        <v>69</v>
      </c>
      <c r="E13371" s="3">
        <f>HYPERLINK("https://sao.dolgi.msk.ru/account/1404092778/", 1404092778)</f>
        <v>1404092778</v>
      </c>
      <c r="F13371">
        <v>-4976.55</v>
      </c>
    </row>
    <row r="13372" spans="1:6" hidden="1" x14ac:dyDescent="0.25">
      <c r="A13372" t="s">
        <v>717</v>
      </c>
      <c r="B13372" t="s">
        <v>70</v>
      </c>
      <c r="E13372" s="3">
        <f>HYPERLINK("https://sao.dolgi.msk.ru/account/1404092807/", 1404092807)</f>
        <v>1404092807</v>
      </c>
      <c r="F13372">
        <v>-8378.5499999999993</v>
      </c>
    </row>
    <row r="13373" spans="1:6" hidden="1" x14ac:dyDescent="0.25">
      <c r="A13373" t="s">
        <v>717</v>
      </c>
      <c r="B13373" t="s">
        <v>71</v>
      </c>
      <c r="E13373" s="3">
        <f>HYPERLINK("https://sao.dolgi.msk.ru/account/1404099451/", 1404099451)</f>
        <v>1404099451</v>
      </c>
      <c r="F13373">
        <v>-4644.74</v>
      </c>
    </row>
    <row r="13374" spans="1:6" hidden="1" x14ac:dyDescent="0.25">
      <c r="A13374" t="s">
        <v>717</v>
      </c>
      <c r="B13374" t="s">
        <v>72</v>
      </c>
      <c r="E13374" s="3">
        <f>HYPERLINK("https://sao.dolgi.msk.ru/account/1404091863/", 1404091863)</f>
        <v>1404091863</v>
      </c>
      <c r="F13374">
        <v>-4424.7299999999996</v>
      </c>
    </row>
    <row r="13375" spans="1:6" hidden="1" x14ac:dyDescent="0.25">
      <c r="A13375" t="s">
        <v>717</v>
      </c>
      <c r="B13375" t="s">
        <v>73</v>
      </c>
      <c r="E13375" s="3">
        <f>HYPERLINK("https://sao.dolgi.msk.ru/account/1404092698/", 1404092698)</f>
        <v>1404092698</v>
      </c>
      <c r="F13375">
        <v>-9083.91</v>
      </c>
    </row>
    <row r="13376" spans="1:6" hidden="1" x14ac:dyDescent="0.25">
      <c r="A13376" t="s">
        <v>717</v>
      </c>
      <c r="B13376" t="s">
        <v>74</v>
      </c>
      <c r="E13376" s="3">
        <f>HYPERLINK("https://sao.dolgi.msk.ru/account/1404091695/", 1404091695)</f>
        <v>1404091695</v>
      </c>
      <c r="F13376">
        <v>-4249.01</v>
      </c>
    </row>
    <row r="13377" spans="1:6" hidden="1" x14ac:dyDescent="0.25">
      <c r="A13377" t="s">
        <v>717</v>
      </c>
      <c r="B13377" t="s">
        <v>75</v>
      </c>
      <c r="E13377" s="3">
        <f>HYPERLINK("https://sao.dolgi.msk.ru/account/1404091767/", 1404091767)</f>
        <v>1404091767</v>
      </c>
      <c r="F13377">
        <v>-9615.99</v>
      </c>
    </row>
    <row r="13378" spans="1:6" hidden="1" x14ac:dyDescent="0.25">
      <c r="A13378" t="s">
        <v>717</v>
      </c>
      <c r="B13378" t="s">
        <v>76</v>
      </c>
      <c r="E13378" s="3">
        <f>HYPERLINK("https://sao.dolgi.msk.ru/account/1404099523/", 1404099523)</f>
        <v>1404099523</v>
      </c>
      <c r="F13378">
        <v>0</v>
      </c>
    </row>
    <row r="13379" spans="1:6" hidden="1" x14ac:dyDescent="0.25">
      <c r="A13379" t="s">
        <v>717</v>
      </c>
      <c r="B13379" t="s">
        <v>76</v>
      </c>
      <c r="E13379" s="3">
        <f>HYPERLINK("https://sao.dolgi.msk.ru/account/1404139839/", 1404139839)</f>
        <v>1404139839</v>
      </c>
      <c r="F13379">
        <v>-4073.4</v>
      </c>
    </row>
    <row r="13380" spans="1:6" x14ac:dyDescent="0.25">
      <c r="A13380" t="s">
        <v>717</v>
      </c>
      <c r="B13380" t="s">
        <v>77</v>
      </c>
      <c r="C13380" s="5" t="str">
        <f t="shared" ref="C13380:C13381" si="544">" кв. "&amp;B13380</f>
        <v xml:space="preserve"> кв. 73</v>
      </c>
      <c r="D13380" s="5" t="str">
        <f>CONCATENATE(A13380,C13380)</f>
        <v>Фестивальная ул., дом 41 к.1 кв. 73</v>
      </c>
      <c r="E13380" s="3">
        <f>HYPERLINK("https://sao.dolgi.msk.ru/account/1404091871/", 1404091871)</f>
        <v>1404091871</v>
      </c>
      <c r="F13380">
        <v>13451.46</v>
      </c>
    </row>
    <row r="13381" spans="1:6" x14ac:dyDescent="0.25">
      <c r="A13381" t="s">
        <v>717</v>
      </c>
      <c r="B13381" t="s">
        <v>78</v>
      </c>
      <c r="C13381" s="5" t="str">
        <f t="shared" si="544"/>
        <v xml:space="preserve"> кв. 74</v>
      </c>
      <c r="D13381" s="5" t="str">
        <f>CONCATENATE(A13381,C13381)</f>
        <v>Фестивальная ул., дом 41 к.1 кв. 74</v>
      </c>
      <c r="E13381" s="3">
        <f>HYPERLINK("https://sao.dolgi.msk.ru/account/1404094845/", 1404094845)</f>
        <v>1404094845</v>
      </c>
      <c r="F13381">
        <v>35374</v>
      </c>
    </row>
    <row r="13382" spans="1:6" hidden="1" x14ac:dyDescent="0.25">
      <c r="A13382" t="s">
        <v>717</v>
      </c>
      <c r="B13382" t="s">
        <v>79</v>
      </c>
      <c r="E13382" s="3">
        <f>HYPERLINK("https://sao.dolgi.msk.ru/account/1404094829/", 1404094829)</f>
        <v>1404094829</v>
      </c>
      <c r="F13382">
        <v>-6789.03</v>
      </c>
    </row>
    <row r="13383" spans="1:6" hidden="1" x14ac:dyDescent="0.25">
      <c r="A13383" t="s">
        <v>717</v>
      </c>
      <c r="B13383" t="s">
        <v>80</v>
      </c>
      <c r="E13383" s="3">
        <f>HYPERLINK("https://sao.dolgi.msk.ru/account/1404092196/", 1404092196)</f>
        <v>1404092196</v>
      </c>
      <c r="F13383">
        <v>-757.23</v>
      </c>
    </row>
    <row r="13384" spans="1:6" hidden="1" x14ac:dyDescent="0.25">
      <c r="A13384" t="s">
        <v>717</v>
      </c>
      <c r="B13384" t="s">
        <v>81</v>
      </c>
      <c r="E13384" s="3">
        <f>HYPERLINK("https://sao.dolgi.msk.ru/account/1404092065/", 1404092065)</f>
        <v>1404092065</v>
      </c>
      <c r="F13384">
        <v>-7000.47</v>
      </c>
    </row>
    <row r="13385" spans="1:6" hidden="1" x14ac:dyDescent="0.25">
      <c r="A13385" t="s">
        <v>717</v>
      </c>
      <c r="B13385" t="s">
        <v>82</v>
      </c>
      <c r="E13385" s="3">
        <f>HYPERLINK("https://sao.dolgi.msk.ru/account/1404093172/", 1404093172)</f>
        <v>1404093172</v>
      </c>
      <c r="F13385">
        <v>-4339.6499999999996</v>
      </c>
    </row>
    <row r="13386" spans="1:6" hidden="1" x14ac:dyDescent="0.25">
      <c r="A13386" t="s">
        <v>717</v>
      </c>
      <c r="B13386" t="s">
        <v>83</v>
      </c>
      <c r="E13386" s="3">
        <f>HYPERLINK("https://sao.dolgi.msk.ru/account/1404091986/", 1404091986)</f>
        <v>1404091986</v>
      </c>
      <c r="F13386">
        <v>-1357.41</v>
      </c>
    </row>
    <row r="13387" spans="1:6" hidden="1" x14ac:dyDescent="0.25">
      <c r="A13387" t="s">
        <v>717</v>
      </c>
      <c r="B13387" t="s">
        <v>84</v>
      </c>
      <c r="E13387" s="3">
        <f>HYPERLINK("https://sao.dolgi.msk.ru/account/1404093105/", 1404093105)</f>
        <v>1404093105</v>
      </c>
      <c r="F13387">
        <v>-16818.77</v>
      </c>
    </row>
    <row r="13388" spans="1:6" hidden="1" x14ac:dyDescent="0.25">
      <c r="A13388" t="s">
        <v>717</v>
      </c>
      <c r="B13388" t="s">
        <v>85</v>
      </c>
      <c r="E13388" s="3">
        <f>HYPERLINK("https://sao.dolgi.msk.ru/account/1404091636/", 1404091636)</f>
        <v>1404091636</v>
      </c>
      <c r="F13388">
        <v>-7948.32</v>
      </c>
    </row>
    <row r="13389" spans="1:6" hidden="1" x14ac:dyDescent="0.25">
      <c r="A13389" t="s">
        <v>717</v>
      </c>
      <c r="B13389" t="s">
        <v>86</v>
      </c>
      <c r="E13389" s="3">
        <f>HYPERLINK("https://sao.dolgi.msk.ru/account/1404099603/", 1404099603)</f>
        <v>1404099603</v>
      </c>
      <c r="F13389">
        <v>0</v>
      </c>
    </row>
    <row r="13390" spans="1:6" hidden="1" x14ac:dyDescent="0.25">
      <c r="A13390" t="s">
        <v>717</v>
      </c>
      <c r="B13390" t="s">
        <v>87</v>
      </c>
      <c r="E13390" s="3">
        <f>HYPERLINK("https://sao.dolgi.msk.ru/account/1404140178/", 1404140178)</f>
        <v>1404140178</v>
      </c>
      <c r="F13390">
        <v>-6331.33</v>
      </c>
    </row>
    <row r="13391" spans="1:6" hidden="1" x14ac:dyDescent="0.25">
      <c r="A13391" t="s">
        <v>717</v>
      </c>
      <c r="B13391" t="s">
        <v>88</v>
      </c>
      <c r="E13391" s="3">
        <f>HYPERLINK("https://sao.dolgi.msk.ru/account/1404099638/", 1404099638)</f>
        <v>1404099638</v>
      </c>
      <c r="F13391">
        <v>0</v>
      </c>
    </row>
    <row r="13392" spans="1:6" hidden="1" x14ac:dyDescent="0.25">
      <c r="A13392" t="s">
        <v>717</v>
      </c>
      <c r="B13392" t="s">
        <v>88</v>
      </c>
      <c r="E13392" s="3">
        <f>HYPERLINK("https://sao.dolgi.msk.ru/account/1404139804/", 1404139804)</f>
        <v>1404139804</v>
      </c>
      <c r="F13392">
        <v>-6506.05</v>
      </c>
    </row>
    <row r="13393" spans="1:6" hidden="1" x14ac:dyDescent="0.25">
      <c r="A13393" t="s">
        <v>717</v>
      </c>
      <c r="B13393" t="s">
        <v>89</v>
      </c>
      <c r="E13393" s="3">
        <f>HYPERLINK("https://sao.dolgi.msk.ru/account/1404092428/", 1404092428)</f>
        <v>1404092428</v>
      </c>
      <c r="F13393">
        <v>-3819.09</v>
      </c>
    </row>
    <row r="13394" spans="1:6" hidden="1" x14ac:dyDescent="0.25">
      <c r="A13394" t="s">
        <v>717</v>
      </c>
      <c r="B13394" t="s">
        <v>90</v>
      </c>
      <c r="E13394" s="3">
        <f>HYPERLINK("https://sao.dolgi.msk.ru/account/1404091951/", 1404091951)</f>
        <v>1404091951</v>
      </c>
      <c r="F13394">
        <v>-5318.31</v>
      </c>
    </row>
    <row r="13395" spans="1:6" hidden="1" x14ac:dyDescent="0.25">
      <c r="A13395" t="s">
        <v>717</v>
      </c>
      <c r="B13395" t="s">
        <v>91</v>
      </c>
      <c r="E13395" s="3">
        <f>HYPERLINK("https://sao.dolgi.msk.ru/account/1404094773/", 1404094773)</f>
        <v>1404094773</v>
      </c>
      <c r="F13395">
        <v>-4382.26</v>
      </c>
    </row>
    <row r="13396" spans="1:6" hidden="1" x14ac:dyDescent="0.25">
      <c r="A13396" t="s">
        <v>717</v>
      </c>
      <c r="B13396" t="s">
        <v>92</v>
      </c>
      <c r="E13396" s="3">
        <f>HYPERLINK("https://sao.dolgi.msk.ru/account/1404096066/", 1404096066)</f>
        <v>1404096066</v>
      </c>
      <c r="F13396">
        <v>0</v>
      </c>
    </row>
    <row r="13397" spans="1:6" hidden="1" x14ac:dyDescent="0.25">
      <c r="A13397" t="s">
        <v>717</v>
      </c>
      <c r="B13397" t="s">
        <v>93</v>
      </c>
      <c r="E13397" s="3">
        <f>HYPERLINK("https://sao.dolgi.msk.ru/account/1404096031/", 1404096031)</f>
        <v>1404096031</v>
      </c>
      <c r="F13397">
        <v>-8565.83</v>
      </c>
    </row>
    <row r="13398" spans="1:6" x14ac:dyDescent="0.25">
      <c r="A13398" t="s">
        <v>717</v>
      </c>
      <c r="B13398" t="s">
        <v>94</v>
      </c>
      <c r="C13398" s="5" t="str">
        <f>" кв. "&amp;B13398</f>
        <v xml:space="preserve"> кв. 90</v>
      </c>
      <c r="D13398" s="5" t="str">
        <f>CONCATENATE(A13398,C13398)</f>
        <v>Фестивальная ул., дом 41 к.1 кв. 90</v>
      </c>
      <c r="E13398" s="3">
        <f>HYPERLINK("https://sao.dolgi.msk.ru/account/1404092882/", 1404092882)</f>
        <v>1404092882</v>
      </c>
      <c r="F13398">
        <v>2381.4</v>
      </c>
    </row>
    <row r="13399" spans="1:6" hidden="1" x14ac:dyDescent="0.25">
      <c r="A13399" t="s">
        <v>717</v>
      </c>
      <c r="B13399" t="s">
        <v>95</v>
      </c>
      <c r="E13399" s="3">
        <f>HYPERLINK("https://sao.dolgi.msk.ru/account/1404091994/", 1404091994)</f>
        <v>1404091994</v>
      </c>
      <c r="F13399">
        <v>-8175.89</v>
      </c>
    </row>
    <row r="13400" spans="1:6" hidden="1" x14ac:dyDescent="0.25">
      <c r="A13400" t="s">
        <v>717</v>
      </c>
      <c r="B13400" t="s">
        <v>96</v>
      </c>
      <c r="E13400" s="3">
        <f>HYPERLINK("https://sao.dolgi.msk.ru/account/1404091724/", 1404091724)</f>
        <v>1404091724</v>
      </c>
      <c r="F13400">
        <v>0</v>
      </c>
    </row>
    <row r="13401" spans="1:6" hidden="1" x14ac:dyDescent="0.25">
      <c r="A13401" t="s">
        <v>717</v>
      </c>
      <c r="B13401" t="s">
        <v>97</v>
      </c>
      <c r="E13401" s="3">
        <f>HYPERLINK("https://sao.dolgi.msk.ru/account/1404098029/", 1404098029)</f>
        <v>1404098029</v>
      </c>
      <c r="F13401">
        <v>-3645.03</v>
      </c>
    </row>
    <row r="13402" spans="1:6" hidden="1" x14ac:dyDescent="0.25">
      <c r="A13402" t="s">
        <v>717</v>
      </c>
      <c r="B13402" t="s">
        <v>98</v>
      </c>
      <c r="E13402" s="3">
        <f>HYPERLINK("https://sao.dolgi.msk.ru/account/1404091812/", 1404091812)</f>
        <v>1404091812</v>
      </c>
      <c r="F13402">
        <v>-4331.66</v>
      </c>
    </row>
    <row r="13403" spans="1:6" hidden="1" x14ac:dyDescent="0.25">
      <c r="A13403" t="s">
        <v>717</v>
      </c>
      <c r="B13403" t="s">
        <v>99</v>
      </c>
      <c r="E13403" s="3">
        <f>HYPERLINK("https://sao.dolgi.msk.ru/account/1404094837/", 1404094837)</f>
        <v>1404094837</v>
      </c>
      <c r="F13403">
        <v>-7157.38</v>
      </c>
    </row>
    <row r="13404" spans="1:6" hidden="1" x14ac:dyDescent="0.25">
      <c r="A13404" t="s">
        <v>717</v>
      </c>
      <c r="B13404" t="s">
        <v>100</v>
      </c>
      <c r="E13404" s="3">
        <f>HYPERLINK("https://sao.dolgi.msk.ru/account/1404099654/", 1404099654)</f>
        <v>1404099654</v>
      </c>
      <c r="F13404">
        <v>-9982.64</v>
      </c>
    </row>
    <row r="13405" spans="1:6" hidden="1" x14ac:dyDescent="0.25">
      <c r="A13405" t="s">
        <v>717</v>
      </c>
      <c r="B13405" t="s">
        <v>101</v>
      </c>
      <c r="E13405" s="3">
        <f>HYPERLINK("https://sao.dolgi.msk.ru/account/1404154748/", 1404154748)</f>
        <v>1404154748</v>
      </c>
      <c r="F13405">
        <v>-2290.6</v>
      </c>
    </row>
    <row r="13406" spans="1:6" hidden="1" x14ac:dyDescent="0.25">
      <c r="A13406" t="s">
        <v>717</v>
      </c>
      <c r="B13406" t="s">
        <v>102</v>
      </c>
      <c r="E13406" s="3">
        <f>HYPERLINK("https://sao.dolgi.msk.ru/account/1404140063/", 1404140063)</f>
        <v>1404140063</v>
      </c>
      <c r="F13406">
        <v>-3241.13</v>
      </c>
    </row>
    <row r="13407" spans="1:6" hidden="1" x14ac:dyDescent="0.25">
      <c r="A13407" t="s">
        <v>717</v>
      </c>
      <c r="B13407" t="s">
        <v>103</v>
      </c>
      <c r="E13407" s="3">
        <f>HYPERLINK("https://sao.dolgi.msk.ru/account/1404099697/", 1404099697)</f>
        <v>1404099697</v>
      </c>
      <c r="F13407">
        <v>0</v>
      </c>
    </row>
    <row r="13408" spans="1:6" hidden="1" x14ac:dyDescent="0.25">
      <c r="A13408" t="s">
        <v>717</v>
      </c>
      <c r="B13408" t="s">
        <v>103</v>
      </c>
      <c r="E13408" s="3">
        <f>HYPERLINK("https://sao.dolgi.msk.ru/account/1404139935/", 1404139935)</f>
        <v>1404139935</v>
      </c>
      <c r="F13408">
        <v>0</v>
      </c>
    </row>
    <row r="13409" spans="1:6" hidden="1" x14ac:dyDescent="0.25">
      <c r="A13409" t="s">
        <v>717</v>
      </c>
      <c r="B13409" t="s">
        <v>104</v>
      </c>
      <c r="E13409" s="3">
        <f>HYPERLINK("https://sao.dolgi.msk.ru/account/1404099822/", 1404099822)</f>
        <v>1404099822</v>
      </c>
      <c r="F13409">
        <v>-4269.7</v>
      </c>
    </row>
    <row r="13410" spans="1:6" hidden="1" x14ac:dyDescent="0.25">
      <c r="A13410" t="s">
        <v>717</v>
      </c>
      <c r="B13410" t="s">
        <v>105</v>
      </c>
      <c r="E13410" s="3">
        <f>HYPERLINK("https://sao.dolgi.msk.ru/account/1404095194/", 1404095194)</f>
        <v>1404095194</v>
      </c>
      <c r="F13410">
        <v>-1124.6400000000001</v>
      </c>
    </row>
    <row r="13411" spans="1:6" hidden="1" x14ac:dyDescent="0.25">
      <c r="A13411" t="s">
        <v>717</v>
      </c>
      <c r="B13411" t="s">
        <v>106</v>
      </c>
      <c r="E13411" s="3">
        <f>HYPERLINK("https://sao.dolgi.msk.ru/account/1404094167/", 1404094167)</f>
        <v>1404094167</v>
      </c>
      <c r="F13411">
        <v>-5861.26</v>
      </c>
    </row>
    <row r="13412" spans="1:6" hidden="1" x14ac:dyDescent="0.25">
      <c r="A13412" t="s">
        <v>717</v>
      </c>
      <c r="B13412" t="s">
        <v>107</v>
      </c>
      <c r="E13412" s="3">
        <f>HYPERLINK("https://sao.dolgi.msk.ru/account/1404099849/", 1404099849)</f>
        <v>1404099849</v>
      </c>
      <c r="F13412">
        <v>-5499.19</v>
      </c>
    </row>
    <row r="13413" spans="1:6" hidden="1" x14ac:dyDescent="0.25">
      <c r="A13413" t="s">
        <v>717</v>
      </c>
      <c r="B13413" t="s">
        <v>108</v>
      </c>
      <c r="E13413" s="3">
        <f>HYPERLINK("https://sao.dolgi.msk.ru/account/1404099857/", 1404099857)</f>
        <v>1404099857</v>
      </c>
      <c r="F13413">
        <v>0</v>
      </c>
    </row>
    <row r="13414" spans="1:6" hidden="1" x14ac:dyDescent="0.25">
      <c r="A13414" t="s">
        <v>717</v>
      </c>
      <c r="B13414" t="s">
        <v>108</v>
      </c>
      <c r="E13414" s="3">
        <f>HYPERLINK("https://sao.dolgi.msk.ru/account/1404139812/", 1404139812)</f>
        <v>1404139812</v>
      </c>
      <c r="F13414">
        <v>-6969.15</v>
      </c>
    </row>
    <row r="13415" spans="1:6" hidden="1" x14ac:dyDescent="0.25">
      <c r="A13415" t="s">
        <v>717</v>
      </c>
      <c r="B13415" t="s">
        <v>109</v>
      </c>
      <c r="E13415" s="3">
        <f>HYPERLINK("https://sao.dolgi.msk.ru/account/1404099865/", 1404099865)</f>
        <v>1404099865</v>
      </c>
      <c r="F13415">
        <v>-3461.92</v>
      </c>
    </row>
    <row r="13416" spans="1:6" x14ac:dyDescent="0.25">
      <c r="A13416" t="s">
        <v>717</v>
      </c>
      <c r="B13416" t="s">
        <v>110</v>
      </c>
      <c r="C13416" s="5" t="str">
        <f>" кв. "&amp;B13416</f>
        <v xml:space="preserve"> кв. 106</v>
      </c>
      <c r="D13416" s="5" t="str">
        <f>CONCATENATE(A13416,C13416)</f>
        <v>Фестивальная ул., дом 41 к.1 кв. 106</v>
      </c>
      <c r="E13416" s="3">
        <f>HYPERLINK("https://sao.dolgi.msk.ru/account/1404153649/", 1404153649)</f>
        <v>1404153649</v>
      </c>
      <c r="F13416">
        <v>5148.5200000000004</v>
      </c>
    </row>
    <row r="13417" spans="1:6" hidden="1" x14ac:dyDescent="0.25">
      <c r="A13417" t="s">
        <v>717</v>
      </c>
      <c r="B13417" t="s">
        <v>111</v>
      </c>
      <c r="E13417" s="3">
        <f>HYPERLINK("https://sao.dolgi.msk.ru/account/1404153948/", 1404153948)</f>
        <v>1404153948</v>
      </c>
      <c r="F13417">
        <v>-5699.98</v>
      </c>
    </row>
    <row r="13418" spans="1:6" hidden="1" x14ac:dyDescent="0.25">
      <c r="A13418" t="s">
        <v>717</v>
      </c>
      <c r="B13418" t="s">
        <v>112</v>
      </c>
      <c r="E13418" s="3">
        <f>HYPERLINK("https://sao.dolgi.msk.ru/account/1404092233/", 1404092233)</f>
        <v>1404092233</v>
      </c>
      <c r="F13418">
        <v>-2366.9299999999998</v>
      </c>
    </row>
    <row r="13419" spans="1:6" hidden="1" x14ac:dyDescent="0.25">
      <c r="A13419" t="s">
        <v>717</v>
      </c>
      <c r="B13419" t="s">
        <v>113</v>
      </c>
      <c r="E13419" s="3">
        <f>HYPERLINK("https://sao.dolgi.msk.ru/account/1404139986/", 1404139986)</f>
        <v>1404139986</v>
      </c>
      <c r="F13419">
        <v>-3560.8</v>
      </c>
    </row>
    <row r="13420" spans="1:6" hidden="1" x14ac:dyDescent="0.25">
      <c r="A13420" t="s">
        <v>717</v>
      </c>
      <c r="B13420" t="s">
        <v>114</v>
      </c>
      <c r="E13420" s="3">
        <f>HYPERLINK("https://sao.dolgi.msk.ru/account/1404092815/", 1404092815)</f>
        <v>1404092815</v>
      </c>
      <c r="F13420">
        <v>-7787.26</v>
      </c>
    </row>
    <row r="13421" spans="1:6" hidden="1" x14ac:dyDescent="0.25">
      <c r="A13421" t="s">
        <v>717</v>
      </c>
      <c r="B13421" t="s">
        <v>115</v>
      </c>
      <c r="E13421" s="3">
        <f>HYPERLINK("https://sao.dolgi.msk.ru/account/1404099996/", 1404099996)</f>
        <v>1404099996</v>
      </c>
      <c r="F13421">
        <v>-5136.93</v>
      </c>
    </row>
    <row r="13422" spans="1:6" x14ac:dyDescent="0.25">
      <c r="A13422" t="s">
        <v>717</v>
      </c>
      <c r="B13422" t="s">
        <v>116</v>
      </c>
      <c r="C13422" s="5" t="str">
        <f>" кв. "&amp;B13422</f>
        <v xml:space="preserve"> кв. 112</v>
      </c>
      <c r="D13422" s="5" t="str">
        <f>CONCATENATE(A13422,C13422)</f>
        <v>Фестивальная ул., дом 41 к.1 кв. 112</v>
      </c>
      <c r="E13422" s="3">
        <f>HYPERLINK("https://sao.dolgi.msk.ru/account/1404092399/", 1404092399)</f>
        <v>1404092399</v>
      </c>
      <c r="F13422">
        <v>44216.81</v>
      </c>
    </row>
    <row r="13423" spans="1:6" hidden="1" x14ac:dyDescent="0.25">
      <c r="A13423" t="s">
        <v>717</v>
      </c>
      <c r="B13423" t="s">
        <v>117</v>
      </c>
      <c r="E13423" s="3">
        <f>HYPERLINK("https://sao.dolgi.msk.ru/account/1404094757/", 1404094757)</f>
        <v>1404094757</v>
      </c>
      <c r="F13423">
        <v>-6226.14</v>
      </c>
    </row>
    <row r="13424" spans="1:6" hidden="1" x14ac:dyDescent="0.25">
      <c r="A13424" t="s">
        <v>717</v>
      </c>
      <c r="B13424" t="s">
        <v>118</v>
      </c>
      <c r="E13424" s="3">
        <f>HYPERLINK("https://sao.dolgi.msk.ru/account/1404092479/", 1404092479)</f>
        <v>1404092479</v>
      </c>
      <c r="F13424">
        <v>-4394.57</v>
      </c>
    </row>
    <row r="13425" spans="1:6" x14ac:dyDescent="0.25">
      <c r="A13425" t="s">
        <v>717</v>
      </c>
      <c r="B13425" t="s">
        <v>119</v>
      </c>
      <c r="C13425" s="5" t="str">
        <f>" кв. "&amp;B13425</f>
        <v xml:space="preserve"> кв. 115</v>
      </c>
      <c r="D13425" s="5" t="str">
        <f>CONCATENATE(A13425,C13425)</f>
        <v>Фестивальная ул., дом 41 к.1 кв. 115</v>
      </c>
      <c r="E13425" s="3">
        <f>HYPERLINK("https://sao.dolgi.msk.ru/account/1404139994/", 1404139994)</f>
        <v>1404139994</v>
      </c>
      <c r="F13425">
        <v>2563.69</v>
      </c>
    </row>
    <row r="13426" spans="1:6" hidden="1" x14ac:dyDescent="0.25">
      <c r="A13426" t="s">
        <v>717</v>
      </c>
      <c r="B13426" t="s">
        <v>120</v>
      </c>
      <c r="E13426" s="3">
        <f>HYPERLINK("https://sao.dolgi.msk.ru/account/1404092436/", 1404092436)</f>
        <v>1404092436</v>
      </c>
      <c r="F13426">
        <v>-2740.42</v>
      </c>
    </row>
    <row r="13427" spans="1:6" x14ac:dyDescent="0.25">
      <c r="A13427" t="s">
        <v>717</v>
      </c>
      <c r="B13427" t="s">
        <v>121</v>
      </c>
      <c r="C13427" s="5" t="str">
        <f>" кв. "&amp;B13427</f>
        <v xml:space="preserve"> кв. 117</v>
      </c>
      <c r="D13427" s="5" t="str">
        <f>CONCATENATE(A13427,C13427)</f>
        <v>Фестивальная ул., дом 41 к.1 кв. 117</v>
      </c>
      <c r="E13427" s="3">
        <f>HYPERLINK("https://sao.dolgi.msk.ru/account/1404100029/", 1404100029)</f>
        <v>1404100029</v>
      </c>
      <c r="F13427">
        <v>77465.88</v>
      </c>
    </row>
    <row r="13428" spans="1:6" hidden="1" x14ac:dyDescent="0.25">
      <c r="A13428" t="s">
        <v>717</v>
      </c>
      <c r="B13428" t="s">
        <v>122</v>
      </c>
      <c r="E13428" s="3">
        <f>HYPERLINK("https://sao.dolgi.msk.ru/account/1404092022/", 1404092022)</f>
        <v>1404092022</v>
      </c>
      <c r="F13428">
        <v>-6027.42</v>
      </c>
    </row>
    <row r="13429" spans="1:6" hidden="1" x14ac:dyDescent="0.25">
      <c r="A13429" t="s">
        <v>717</v>
      </c>
      <c r="B13429" t="s">
        <v>123</v>
      </c>
      <c r="E13429" s="3">
        <f>HYPERLINK("https://sao.dolgi.msk.ru/account/1404091839/", 1404091839)</f>
        <v>1404091839</v>
      </c>
      <c r="F13429">
        <v>-2043.75</v>
      </c>
    </row>
    <row r="13430" spans="1:6" hidden="1" x14ac:dyDescent="0.25">
      <c r="A13430" t="s">
        <v>717</v>
      </c>
      <c r="B13430" t="s">
        <v>124</v>
      </c>
      <c r="E13430" s="3">
        <f>HYPERLINK("https://sao.dolgi.msk.ru/account/1404092719/", 1404092719)</f>
        <v>1404092719</v>
      </c>
      <c r="F13430">
        <v>0</v>
      </c>
    </row>
    <row r="13431" spans="1:6" x14ac:dyDescent="0.25">
      <c r="A13431" t="s">
        <v>717</v>
      </c>
      <c r="B13431" t="s">
        <v>125</v>
      </c>
      <c r="C13431" s="5" t="str">
        <f>" кв. "&amp;B13431</f>
        <v xml:space="preserve"> кв. 121</v>
      </c>
      <c r="D13431" s="5" t="str">
        <f>CONCATENATE(A13431,C13431)</f>
        <v>Фестивальная ул., дом 41 к.1 кв. 121</v>
      </c>
      <c r="E13431" s="3">
        <f>HYPERLINK("https://sao.dolgi.msk.ru/account/1404100053/", 1404100053)</f>
        <v>1404100053</v>
      </c>
      <c r="F13431">
        <v>17521.95</v>
      </c>
    </row>
    <row r="13432" spans="1:6" hidden="1" x14ac:dyDescent="0.25">
      <c r="A13432" t="s">
        <v>717</v>
      </c>
      <c r="B13432" t="s">
        <v>126</v>
      </c>
      <c r="E13432" s="3">
        <f>HYPERLINK("https://sao.dolgi.msk.ru/account/1404100088/", 1404100088)</f>
        <v>1404100088</v>
      </c>
      <c r="F13432">
        <v>-5371.71</v>
      </c>
    </row>
    <row r="13433" spans="1:6" hidden="1" x14ac:dyDescent="0.25">
      <c r="A13433" t="s">
        <v>717</v>
      </c>
      <c r="B13433" t="s">
        <v>127</v>
      </c>
      <c r="E13433" s="3">
        <f>HYPERLINK("https://sao.dolgi.msk.ru/account/1404092639/", 1404092639)</f>
        <v>1404092639</v>
      </c>
      <c r="F13433">
        <v>-5871.48</v>
      </c>
    </row>
    <row r="13434" spans="1:6" hidden="1" x14ac:dyDescent="0.25">
      <c r="A13434" t="s">
        <v>717</v>
      </c>
      <c r="B13434" t="s">
        <v>128</v>
      </c>
      <c r="E13434" s="3">
        <f>HYPERLINK("https://sao.dolgi.msk.ru/account/1404100109/", 1404100109)</f>
        <v>1404100109</v>
      </c>
      <c r="F13434">
        <v>-3488.76</v>
      </c>
    </row>
    <row r="13435" spans="1:6" hidden="1" x14ac:dyDescent="0.25">
      <c r="A13435" t="s">
        <v>717</v>
      </c>
      <c r="B13435" t="s">
        <v>129</v>
      </c>
      <c r="E13435" s="3">
        <f>HYPERLINK("https://sao.dolgi.msk.ru/account/1404100125/", 1404100125)</f>
        <v>1404100125</v>
      </c>
      <c r="F13435">
        <v>-6184.45</v>
      </c>
    </row>
    <row r="13436" spans="1:6" hidden="1" x14ac:dyDescent="0.25">
      <c r="A13436" t="s">
        <v>717</v>
      </c>
      <c r="B13436" t="s">
        <v>130</v>
      </c>
      <c r="E13436" s="3">
        <f>HYPERLINK("https://sao.dolgi.msk.ru/account/1404093156/", 1404093156)</f>
        <v>1404093156</v>
      </c>
      <c r="F13436">
        <v>-8415.7800000000007</v>
      </c>
    </row>
    <row r="13437" spans="1:6" hidden="1" x14ac:dyDescent="0.25">
      <c r="A13437" t="s">
        <v>717</v>
      </c>
      <c r="B13437" t="s">
        <v>131</v>
      </c>
      <c r="E13437" s="3">
        <f>HYPERLINK("https://sao.dolgi.msk.ru/account/1404100133/", 1404100133)</f>
        <v>1404100133</v>
      </c>
      <c r="F13437">
        <v>-5771.08</v>
      </c>
    </row>
    <row r="13438" spans="1:6" hidden="1" x14ac:dyDescent="0.25">
      <c r="A13438" t="s">
        <v>717</v>
      </c>
      <c r="B13438" t="s">
        <v>132</v>
      </c>
      <c r="E13438" s="3">
        <f>HYPERLINK("https://sao.dolgi.msk.ru/account/1404152603/", 1404152603)</f>
        <v>1404152603</v>
      </c>
      <c r="F13438">
        <v>-5571.75</v>
      </c>
    </row>
    <row r="13439" spans="1:6" hidden="1" x14ac:dyDescent="0.25">
      <c r="A13439" t="s">
        <v>717</v>
      </c>
      <c r="B13439" t="s">
        <v>133</v>
      </c>
      <c r="E13439" s="3">
        <f>HYPERLINK("https://sao.dolgi.msk.ru/account/1404092372/", 1404092372)</f>
        <v>1404092372</v>
      </c>
      <c r="F13439">
        <v>-4069.23</v>
      </c>
    </row>
    <row r="13440" spans="1:6" hidden="1" x14ac:dyDescent="0.25">
      <c r="A13440" t="s">
        <v>717</v>
      </c>
      <c r="B13440" t="s">
        <v>134</v>
      </c>
      <c r="E13440" s="3">
        <f>HYPERLINK("https://sao.dolgi.msk.ru/account/1404100205/", 1404100205)</f>
        <v>1404100205</v>
      </c>
      <c r="F13440">
        <v>-6118.88</v>
      </c>
    </row>
    <row r="13441" spans="1:6" x14ac:dyDescent="0.25">
      <c r="A13441" t="s">
        <v>717</v>
      </c>
      <c r="B13441" t="s">
        <v>135</v>
      </c>
      <c r="C13441" s="5" t="str">
        <f>" кв. "&amp;B13441</f>
        <v xml:space="preserve"> кв. 131</v>
      </c>
      <c r="D13441" s="5" t="str">
        <f>CONCATENATE(A13441,C13441)</f>
        <v>Фестивальная ул., дом 41 к.1 кв. 131</v>
      </c>
      <c r="E13441" s="3">
        <f>HYPERLINK("https://sao.dolgi.msk.ru/account/1404100221/", 1404100221)</f>
        <v>1404100221</v>
      </c>
      <c r="F13441">
        <v>5064.88</v>
      </c>
    </row>
    <row r="13442" spans="1:6" hidden="1" x14ac:dyDescent="0.25">
      <c r="A13442" t="s">
        <v>717</v>
      </c>
      <c r="B13442" t="s">
        <v>136</v>
      </c>
      <c r="E13442" s="3">
        <f>HYPERLINK("https://sao.dolgi.msk.ru/account/1404094722/", 1404094722)</f>
        <v>1404094722</v>
      </c>
      <c r="F13442">
        <v>-8988.35</v>
      </c>
    </row>
    <row r="13443" spans="1:6" hidden="1" x14ac:dyDescent="0.25">
      <c r="A13443" t="s">
        <v>717</v>
      </c>
      <c r="B13443" t="s">
        <v>137</v>
      </c>
      <c r="E13443" s="3">
        <f>HYPERLINK("https://sao.dolgi.msk.ru/account/1404092487/", 1404092487)</f>
        <v>1404092487</v>
      </c>
      <c r="F13443">
        <v>-4469.79</v>
      </c>
    </row>
    <row r="13444" spans="1:6" hidden="1" x14ac:dyDescent="0.25">
      <c r="A13444" t="s">
        <v>717</v>
      </c>
      <c r="B13444" t="s">
        <v>138</v>
      </c>
      <c r="E13444" s="3">
        <f>HYPERLINK("https://sao.dolgi.msk.ru/account/1404091644/", 1404091644)</f>
        <v>1404091644</v>
      </c>
      <c r="F13444">
        <v>-5735.88</v>
      </c>
    </row>
    <row r="13445" spans="1:6" hidden="1" x14ac:dyDescent="0.25">
      <c r="A13445" t="s">
        <v>717</v>
      </c>
      <c r="B13445" t="s">
        <v>139</v>
      </c>
      <c r="E13445" s="3">
        <f>HYPERLINK("https://sao.dolgi.msk.ru/account/1404092567/", 1404092567)</f>
        <v>1404092567</v>
      </c>
      <c r="F13445">
        <v>0</v>
      </c>
    </row>
    <row r="13446" spans="1:6" hidden="1" x14ac:dyDescent="0.25">
      <c r="A13446" t="s">
        <v>717</v>
      </c>
      <c r="B13446" t="s">
        <v>140</v>
      </c>
      <c r="E13446" s="3">
        <f>HYPERLINK("https://sao.dolgi.msk.ru/account/1404153307/", 1404153307)</f>
        <v>1404153307</v>
      </c>
      <c r="F13446">
        <v>-6627.89</v>
      </c>
    </row>
    <row r="13447" spans="1:6" hidden="1" x14ac:dyDescent="0.25">
      <c r="A13447" t="s">
        <v>717</v>
      </c>
      <c r="B13447" t="s">
        <v>141</v>
      </c>
      <c r="E13447" s="3">
        <f>HYPERLINK("https://sao.dolgi.msk.ru/account/1404100272/", 1404100272)</f>
        <v>1404100272</v>
      </c>
      <c r="F13447">
        <v>0</v>
      </c>
    </row>
    <row r="13448" spans="1:6" hidden="1" x14ac:dyDescent="0.25">
      <c r="A13448" t="s">
        <v>717</v>
      </c>
      <c r="B13448" t="s">
        <v>142</v>
      </c>
      <c r="E13448" s="3">
        <f>HYPERLINK("https://sao.dolgi.msk.ru/account/1404097958/", 1404097958)</f>
        <v>1404097958</v>
      </c>
      <c r="F13448">
        <v>-4779.53</v>
      </c>
    </row>
    <row r="13449" spans="1:6" hidden="1" x14ac:dyDescent="0.25">
      <c r="A13449" t="s">
        <v>717</v>
      </c>
      <c r="B13449" t="s">
        <v>143</v>
      </c>
      <c r="E13449" s="3">
        <f>HYPERLINK("https://sao.dolgi.msk.ru/account/1404092495/", 1404092495)</f>
        <v>1404092495</v>
      </c>
      <c r="F13449">
        <v>-5363.54</v>
      </c>
    </row>
    <row r="13450" spans="1:6" hidden="1" x14ac:dyDescent="0.25">
      <c r="A13450" t="s">
        <v>717</v>
      </c>
      <c r="B13450" t="s">
        <v>144</v>
      </c>
      <c r="E13450" s="3">
        <f>HYPERLINK("https://sao.dolgi.msk.ru/account/1404091716/", 1404091716)</f>
        <v>1404091716</v>
      </c>
      <c r="F13450">
        <v>-5662.68</v>
      </c>
    </row>
    <row r="13451" spans="1:6" hidden="1" x14ac:dyDescent="0.25">
      <c r="A13451" t="s">
        <v>717</v>
      </c>
      <c r="B13451" t="s">
        <v>145</v>
      </c>
      <c r="E13451" s="3">
        <f>HYPERLINK("https://sao.dolgi.msk.ru/account/1404091804/", 1404091804)</f>
        <v>1404091804</v>
      </c>
      <c r="F13451">
        <v>-4721.55</v>
      </c>
    </row>
    <row r="13452" spans="1:6" hidden="1" x14ac:dyDescent="0.25">
      <c r="A13452" t="s">
        <v>717</v>
      </c>
      <c r="B13452" t="s">
        <v>146</v>
      </c>
      <c r="E13452" s="3">
        <f>HYPERLINK("https://sao.dolgi.msk.ru/account/1404092401/", 1404092401)</f>
        <v>1404092401</v>
      </c>
      <c r="F13452">
        <v>-1217.82</v>
      </c>
    </row>
    <row r="13453" spans="1:6" hidden="1" x14ac:dyDescent="0.25">
      <c r="A13453" t="s">
        <v>717</v>
      </c>
      <c r="B13453" t="s">
        <v>147</v>
      </c>
      <c r="E13453" s="3">
        <f>HYPERLINK("https://sao.dolgi.msk.ru/account/1404100301/", 1404100301)</f>
        <v>1404100301</v>
      </c>
      <c r="F13453">
        <v>0</v>
      </c>
    </row>
    <row r="13454" spans="1:6" hidden="1" x14ac:dyDescent="0.25">
      <c r="A13454" t="s">
        <v>717</v>
      </c>
      <c r="B13454" t="s">
        <v>148</v>
      </c>
      <c r="E13454" s="3">
        <f>HYPERLINK("https://sao.dolgi.msk.ru/account/1404091935/", 1404091935)</f>
        <v>1404091935</v>
      </c>
      <c r="F13454">
        <v>-7149.52</v>
      </c>
    </row>
    <row r="13455" spans="1:6" hidden="1" x14ac:dyDescent="0.25">
      <c r="A13455" t="s">
        <v>717</v>
      </c>
      <c r="B13455" t="s">
        <v>149</v>
      </c>
      <c r="E13455" s="3">
        <f>HYPERLINK("https://sao.dolgi.msk.ru/account/1404093084/", 1404093084)</f>
        <v>1404093084</v>
      </c>
      <c r="F13455">
        <v>-1855.65</v>
      </c>
    </row>
    <row r="13456" spans="1:6" hidden="1" x14ac:dyDescent="0.25">
      <c r="A13456" t="s">
        <v>717</v>
      </c>
      <c r="B13456" t="s">
        <v>150</v>
      </c>
      <c r="E13456" s="3">
        <f>HYPERLINK("https://sao.dolgi.msk.ru/account/1404139652/", 1404139652)</f>
        <v>1404139652</v>
      </c>
      <c r="F13456">
        <v>0</v>
      </c>
    </row>
    <row r="13457" spans="1:6" hidden="1" x14ac:dyDescent="0.25">
      <c r="A13457" t="s">
        <v>717</v>
      </c>
      <c r="B13457" t="s">
        <v>151</v>
      </c>
      <c r="E13457" s="3">
        <f>HYPERLINK("https://sao.dolgi.msk.ru/account/1404091484/", 1404091484)</f>
        <v>1404091484</v>
      </c>
      <c r="F13457">
        <v>-15190.47</v>
      </c>
    </row>
    <row r="13458" spans="1:6" hidden="1" x14ac:dyDescent="0.25">
      <c r="A13458" t="s">
        <v>717</v>
      </c>
      <c r="B13458" t="s">
        <v>152</v>
      </c>
      <c r="E13458" s="3">
        <f>HYPERLINK("https://sao.dolgi.msk.ru/account/1404100336/", 1404100336)</f>
        <v>1404100336</v>
      </c>
      <c r="F13458">
        <v>-4910.8100000000004</v>
      </c>
    </row>
    <row r="13459" spans="1:6" hidden="1" x14ac:dyDescent="0.25">
      <c r="A13459" t="s">
        <v>717</v>
      </c>
      <c r="B13459" t="s">
        <v>153</v>
      </c>
      <c r="E13459" s="3">
        <f>HYPERLINK("https://sao.dolgi.msk.ru/account/1404092946/", 1404092946)</f>
        <v>1404092946</v>
      </c>
      <c r="F13459">
        <v>-7578.47</v>
      </c>
    </row>
    <row r="13460" spans="1:6" hidden="1" x14ac:dyDescent="0.25">
      <c r="A13460" t="s">
        <v>717</v>
      </c>
      <c r="B13460" t="s">
        <v>154</v>
      </c>
      <c r="E13460" s="3">
        <f>HYPERLINK("https://sao.dolgi.msk.ru/account/1404091652/", 1404091652)</f>
        <v>1404091652</v>
      </c>
      <c r="F13460">
        <v>-4188.8900000000003</v>
      </c>
    </row>
    <row r="13461" spans="1:6" hidden="1" x14ac:dyDescent="0.25">
      <c r="A13461" t="s">
        <v>717</v>
      </c>
      <c r="B13461" t="s">
        <v>155</v>
      </c>
      <c r="E13461" s="3">
        <f>HYPERLINK("https://sao.dolgi.msk.ru/account/1404139396/", 1404139396)</f>
        <v>1404139396</v>
      </c>
      <c r="F13461">
        <v>-4397.42</v>
      </c>
    </row>
    <row r="13462" spans="1:6" hidden="1" x14ac:dyDescent="0.25">
      <c r="A13462" t="s">
        <v>717</v>
      </c>
      <c r="B13462" t="s">
        <v>156</v>
      </c>
      <c r="E13462" s="3">
        <f>HYPERLINK("https://sao.dolgi.msk.ru/account/1404092583/", 1404092583)</f>
        <v>1404092583</v>
      </c>
      <c r="F13462">
        <v>-4815.88</v>
      </c>
    </row>
    <row r="13463" spans="1:6" hidden="1" x14ac:dyDescent="0.25">
      <c r="A13463" t="s">
        <v>717</v>
      </c>
      <c r="B13463" t="s">
        <v>157</v>
      </c>
      <c r="E13463" s="3">
        <f>HYPERLINK("https://sao.dolgi.msk.ru/account/1404100379/", 1404100379)</f>
        <v>1404100379</v>
      </c>
      <c r="F13463">
        <v>-115.76</v>
      </c>
    </row>
    <row r="13464" spans="1:6" hidden="1" x14ac:dyDescent="0.25">
      <c r="A13464" t="s">
        <v>717</v>
      </c>
      <c r="B13464" t="s">
        <v>158</v>
      </c>
      <c r="E13464" s="3">
        <f>HYPERLINK("https://sao.dolgi.msk.ru/account/1404153999/", 1404153999)</f>
        <v>1404153999</v>
      </c>
      <c r="F13464">
        <v>-6739.24</v>
      </c>
    </row>
    <row r="13465" spans="1:6" hidden="1" x14ac:dyDescent="0.25">
      <c r="A13465" t="s">
        <v>717</v>
      </c>
      <c r="B13465" t="s">
        <v>159</v>
      </c>
      <c r="E13465" s="3">
        <f>HYPERLINK("https://sao.dolgi.msk.ru/account/1404091599/", 1404091599)</f>
        <v>1404091599</v>
      </c>
      <c r="F13465">
        <v>-9184.5</v>
      </c>
    </row>
    <row r="13466" spans="1:6" hidden="1" x14ac:dyDescent="0.25">
      <c r="A13466" t="s">
        <v>717</v>
      </c>
      <c r="B13466" t="s">
        <v>160</v>
      </c>
      <c r="E13466" s="3">
        <f>HYPERLINK("https://sao.dolgi.msk.ru/account/1404093121/", 1404093121)</f>
        <v>1404093121</v>
      </c>
      <c r="F13466">
        <v>-2468.81</v>
      </c>
    </row>
    <row r="13467" spans="1:6" hidden="1" x14ac:dyDescent="0.25">
      <c r="A13467" t="s">
        <v>717</v>
      </c>
      <c r="B13467" t="s">
        <v>161</v>
      </c>
      <c r="E13467" s="3">
        <f>HYPERLINK("https://sao.dolgi.msk.ru/account/1404150288/", 1404150288)</f>
        <v>1404150288</v>
      </c>
      <c r="F13467">
        <v>0</v>
      </c>
    </row>
    <row r="13468" spans="1:6" hidden="1" x14ac:dyDescent="0.25">
      <c r="A13468" t="s">
        <v>717</v>
      </c>
      <c r="B13468" t="s">
        <v>162</v>
      </c>
      <c r="E13468" s="3">
        <f>HYPERLINK("https://sao.dolgi.msk.ru/account/1404091783/", 1404091783)</f>
        <v>1404091783</v>
      </c>
      <c r="F13468">
        <v>0</v>
      </c>
    </row>
    <row r="13469" spans="1:6" hidden="1" x14ac:dyDescent="0.25">
      <c r="A13469" t="s">
        <v>717</v>
      </c>
      <c r="B13469" t="s">
        <v>163</v>
      </c>
      <c r="E13469" s="3">
        <f>HYPERLINK("https://sao.dolgi.msk.ru/account/1404094175/", 1404094175)</f>
        <v>1404094175</v>
      </c>
      <c r="F13469">
        <v>-259.88</v>
      </c>
    </row>
    <row r="13470" spans="1:6" x14ac:dyDescent="0.25">
      <c r="A13470" t="s">
        <v>717</v>
      </c>
      <c r="B13470" t="s">
        <v>164</v>
      </c>
      <c r="C13470" s="5" t="str">
        <f>" кв. "&amp;B13470</f>
        <v xml:space="preserve"> кв. 160</v>
      </c>
      <c r="D13470" s="5" t="str">
        <f>CONCATENATE(A13470,C13470)</f>
        <v>Фестивальная ул., дом 41 к.1 кв. 160</v>
      </c>
      <c r="E13470" s="3">
        <f>HYPERLINK("https://sao.dolgi.msk.ru/account/1404150528/", 1404150528)</f>
        <v>1404150528</v>
      </c>
      <c r="F13470">
        <v>5259.18</v>
      </c>
    </row>
    <row r="13471" spans="1:6" hidden="1" x14ac:dyDescent="0.25">
      <c r="A13471" t="s">
        <v>717</v>
      </c>
      <c r="B13471" t="s">
        <v>165</v>
      </c>
      <c r="E13471" s="3">
        <f>HYPERLINK("https://sao.dolgi.msk.ru/account/1404092989/", 1404092989)</f>
        <v>1404092989</v>
      </c>
      <c r="F13471">
        <v>-5341.61</v>
      </c>
    </row>
    <row r="13472" spans="1:6" hidden="1" x14ac:dyDescent="0.25">
      <c r="A13472" t="s">
        <v>717</v>
      </c>
      <c r="B13472" t="s">
        <v>166</v>
      </c>
      <c r="E13472" s="3">
        <f>HYPERLINK("https://sao.dolgi.msk.ru/account/1404092938/", 1404092938)</f>
        <v>1404092938</v>
      </c>
      <c r="F13472">
        <v>-3396.01</v>
      </c>
    </row>
    <row r="13473" spans="1:6" hidden="1" x14ac:dyDescent="0.25">
      <c r="A13473" t="s">
        <v>717</v>
      </c>
      <c r="B13473" t="s">
        <v>167</v>
      </c>
      <c r="E13473" s="3">
        <f>HYPERLINK("https://sao.dolgi.msk.ru/account/1404100432/", 1404100432)</f>
        <v>1404100432</v>
      </c>
      <c r="F13473">
        <v>0</v>
      </c>
    </row>
    <row r="13474" spans="1:6" hidden="1" x14ac:dyDescent="0.25">
      <c r="A13474" t="s">
        <v>717</v>
      </c>
      <c r="B13474" t="s">
        <v>168</v>
      </c>
      <c r="E13474" s="3">
        <f>HYPERLINK("https://sao.dolgi.msk.ru/account/1404092743/", 1404092743)</f>
        <v>1404092743</v>
      </c>
      <c r="F13474">
        <v>-7493.7</v>
      </c>
    </row>
    <row r="13475" spans="1:6" hidden="1" x14ac:dyDescent="0.25">
      <c r="A13475" t="s">
        <v>717</v>
      </c>
      <c r="B13475" t="s">
        <v>169</v>
      </c>
      <c r="E13475" s="3">
        <f>HYPERLINK("https://sao.dolgi.msk.ru/account/1404092137/", 1404092137)</f>
        <v>1404092137</v>
      </c>
      <c r="F13475">
        <v>0</v>
      </c>
    </row>
    <row r="13476" spans="1:6" hidden="1" x14ac:dyDescent="0.25">
      <c r="A13476" t="s">
        <v>717</v>
      </c>
      <c r="B13476" t="s">
        <v>170</v>
      </c>
      <c r="E13476" s="3">
        <f>HYPERLINK("https://sao.dolgi.msk.ru/account/1404100475/", 1404100475)</f>
        <v>1404100475</v>
      </c>
      <c r="F13476">
        <v>-4534.16</v>
      </c>
    </row>
    <row r="13477" spans="1:6" hidden="1" x14ac:dyDescent="0.25">
      <c r="A13477" t="s">
        <v>717</v>
      </c>
      <c r="B13477" t="s">
        <v>171</v>
      </c>
      <c r="E13477" s="3">
        <f>HYPERLINK("https://sao.dolgi.msk.ru/account/1404093279/", 1404093279)</f>
        <v>1404093279</v>
      </c>
      <c r="F13477">
        <v>-540.11</v>
      </c>
    </row>
    <row r="13478" spans="1:6" hidden="1" x14ac:dyDescent="0.25">
      <c r="A13478" t="s">
        <v>717</v>
      </c>
      <c r="B13478" t="s">
        <v>172</v>
      </c>
      <c r="E13478" s="3">
        <f>HYPERLINK("https://sao.dolgi.msk.ru/account/1404091927/", 1404091927)</f>
        <v>1404091927</v>
      </c>
      <c r="F13478">
        <v>-5375.56</v>
      </c>
    </row>
    <row r="13479" spans="1:6" x14ac:dyDescent="0.25">
      <c r="A13479" t="s">
        <v>717</v>
      </c>
      <c r="B13479" t="s">
        <v>173</v>
      </c>
      <c r="C13479" s="5" t="str">
        <f>" кв. "&amp;B13479</f>
        <v xml:space="preserve"> кв. 169</v>
      </c>
      <c r="D13479" s="5" t="str">
        <f>CONCATENATE(A13479,C13479)</f>
        <v>Фестивальная ул., дом 41 к.1 кв. 169</v>
      </c>
      <c r="E13479" s="3">
        <f>HYPERLINK("https://sao.dolgi.msk.ru/account/1404094888/", 1404094888)</f>
        <v>1404094888</v>
      </c>
      <c r="F13479">
        <v>3571.23</v>
      </c>
    </row>
    <row r="13480" spans="1:6" hidden="1" x14ac:dyDescent="0.25">
      <c r="A13480" t="s">
        <v>717</v>
      </c>
      <c r="B13480" t="s">
        <v>174</v>
      </c>
      <c r="E13480" s="3">
        <f>HYPERLINK("https://sao.dolgi.msk.ru/account/1404092102/", 1404092102)</f>
        <v>1404092102</v>
      </c>
      <c r="F13480">
        <v>-3878.78</v>
      </c>
    </row>
    <row r="13481" spans="1:6" hidden="1" x14ac:dyDescent="0.25">
      <c r="A13481" t="s">
        <v>717</v>
      </c>
      <c r="B13481" t="s">
        <v>175</v>
      </c>
      <c r="E13481" s="3">
        <f>HYPERLINK("https://sao.dolgi.msk.ru/account/1404092954/", 1404092954)</f>
        <v>1404092954</v>
      </c>
      <c r="F13481">
        <v>-608.91</v>
      </c>
    </row>
    <row r="13482" spans="1:6" hidden="1" x14ac:dyDescent="0.25">
      <c r="A13482" t="s">
        <v>717</v>
      </c>
      <c r="B13482" t="s">
        <v>176</v>
      </c>
      <c r="E13482" s="3">
        <f>HYPERLINK("https://sao.dolgi.msk.ru/account/1404092604/", 1404092604)</f>
        <v>1404092604</v>
      </c>
      <c r="F13482">
        <v>-6149.46</v>
      </c>
    </row>
    <row r="13483" spans="1:6" hidden="1" x14ac:dyDescent="0.25">
      <c r="A13483" t="s">
        <v>717</v>
      </c>
      <c r="B13483" t="s">
        <v>177</v>
      </c>
      <c r="E13483" s="3">
        <f>HYPERLINK("https://sao.dolgi.msk.ru/account/1404154852/", 1404154852)</f>
        <v>1404154852</v>
      </c>
      <c r="F13483">
        <v>-5567.87</v>
      </c>
    </row>
    <row r="13484" spans="1:6" hidden="1" x14ac:dyDescent="0.25">
      <c r="A13484" t="s">
        <v>717</v>
      </c>
      <c r="B13484" t="s">
        <v>178</v>
      </c>
      <c r="E13484" s="3">
        <f>HYPERLINK("https://sao.dolgi.msk.ru/account/1404092647/", 1404092647)</f>
        <v>1404092647</v>
      </c>
      <c r="F13484">
        <v>-2065.0300000000002</v>
      </c>
    </row>
    <row r="13485" spans="1:6" hidden="1" x14ac:dyDescent="0.25">
      <c r="A13485" t="s">
        <v>717</v>
      </c>
      <c r="B13485" t="s">
        <v>178</v>
      </c>
      <c r="E13485" s="3">
        <f>HYPERLINK("https://sao.dolgi.msk.ru/account/1404093041/", 1404093041)</f>
        <v>1404093041</v>
      </c>
      <c r="F13485">
        <v>-3813.62</v>
      </c>
    </row>
    <row r="13486" spans="1:6" hidden="1" x14ac:dyDescent="0.25">
      <c r="A13486" t="s">
        <v>717</v>
      </c>
      <c r="B13486" t="s">
        <v>179</v>
      </c>
      <c r="E13486" s="3">
        <f>HYPERLINK("https://sao.dolgi.msk.ru/account/1404150309/", 1404150309)</f>
        <v>1404150309</v>
      </c>
      <c r="F13486">
        <v>-3478.12</v>
      </c>
    </row>
    <row r="13487" spans="1:6" hidden="1" x14ac:dyDescent="0.25">
      <c r="A13487" t="s">
        <v>717</v>
      </c>
      <c r="B13487" t="s">
        <v>180</v>
      </c>
      <c r="E13487" s="3">
        <f>HYPERLINK("https://sao.dolgi.msk.ru/account/1404092276/", 1404092276)</f>
        <v>1404092276</v>
      </c>
      <c r="F13487">
        <v>-4667.6000000000004</v>
      </c>
    </row>
    <row r="13488" spans="1:6" hidden="1" x14ac:dyDescent="0.25">
      <c r="A13488" t="s">
        <v>717</v>
      </c>
      <c r="B13488" t="s">
        <v>181</v>
      </c>
      <c r="E13488" s="3">
        <f>HYPERLINK("https://sao.dolgi.msk.ru/account/1404094765/", 1404094765)</f>
        <v>1404094765</v>
      </c>
      <c r="F13488">
        <v>-5407.65</v>
      </c>
    </row>
    <row r="13489" spans="1:6" hidden="1" x14ac:dyDescent="0.25">
      <c r="A13489" t="s">
        <v>717</v>
      </c>
      <c r="B13489" t="s">
        <v>182</v>
      </c>
      <c r="E13489" s="3">
        <f>HYPERLINK("https://sao.dolgi.msk.ru/account/1404092524/", 1404092524)</f>
        <v>1404092524</v>
      </c>
      <c r="F13489">
        <v>-4905.3</v>
      </c>
    </row>
    <row r="13490" spans="1:6" hidden="1" x14ac:dyDescent="0.25">
      <c r="A13490" t="s">
        <v>717</v>
      </c>
      <c r="B13490" t="s">
        <v>183</v>
      </c>
      <c r="E13490" s="3">
        <f>HYPERLINK("https://sao.dolgi.msk.ru/account/1404095143/", 1404095143)</f>
        <v>1404095143</v>
      </c>
      <c r="F13490">
        <v>-7326.13</v>
      </c>
    </row>
    <row r="13491" spans="1:6" hidden="1" x14ac:dyDescent="0.25">
      <c r="A13491" t="s">
        <v>717</v>
      </c>
      <c r="B13491" t="s">
        <v>184</v>
      </c>
      <c r="E13491" s="3">
        <f>HYPERLINK("https://sao.dolgi.msk.ru/account/1404091855/", 1404091855)</f>
        <v>1404091855</v>
      </c>
      <c r="F13491">
        <v>-9203.67</v>
      </c>
    </row>
    <row r="13492" spans="1:6" hidden="1" x14ac:dyDescent="0.25">
      <c r="A13492" t="s">
        <v>717</v>
      </c>
      <c r="B13492" t="s">
        <v>185</v>
      </c>
      <c r="E13492" s="3">
        <f>HYPERLINK("https://sao.dolgi.msk.ru/account/1404140194/", 1404140194)</f>
        <v>1404140194</v>
      </c>
      <c r="F13492">
        <v>-3952.7</v>
      </c>
    </row>
    <row r="13493" spans="1:6" hidden="1" x14ac:dyDescent="0.25">
      <c r="A13493" t="s">
        <v>717</v>
      </c>
      <c r="B13493" t="s">
        <v>186</v>
      </c>
      <c r="E13493" s="3">
        <f>HYPERLINK("https://sao.dolgi.msk.ru/account/1404094896/", 1404094896)</f>
        <v>1404094896</v>
      </c>
      <c r="F13493">
        <v>-4967.32</v>
      </c>
    </row>
    <row r="13494" spans="1:6" hidden="1" x14ac:dyDescent="0.25">
      <c r="A13494" t="s">
        <v>717</v>
      </c>
      <c r="B13494" t="s">
        <v>187</v>
      </c>
      <c r="E13494" s="3">
        <f>HYPERLINK("https://sao.dolgi.msk.ru/account/1404092145/", 1404092145)</f>
        <v>1404092145</v>
      </c>
      <c r="F13494">
        <v>-4779.5</v>
      </c>
    </row>
    <row r="13495" spans="1:6" hidden="1" x14ac:dyDescent="0.25">
      <c r="A13495" t="s">
        <v>717</v>
      </c>
      <c r="B13495" t="s">
        <v>188</v>
      </c>
      <c r="E13495" s="3">
        <f>HYPERLINK("https://sao.dolgi.msk.ru/account/1404100539/", 1404100539)</f>
        <v>1404100539</v>
      </c>
      <c r="F13495">
        <v>0</v>
      </c>
    </row>
    <row r="13496" spans="1:6" hidden="1" x14ac:dyDescent="0.25">
      <c r="A13496" t="s">
        <v>717</v>
      </c>
      <c r="B13496" t="s">
        <v>188</v>
      </c>
      <c r="E13496" s="3">
        <f>HYPERLINK("https://sao.dolgi.msk.ru/account/1404149623/", 1404149623)</f>
        <v>1404149623</v>
      </c>
      <c r="F13496">
        <v>-5227.45</v>
      </c>
    </row>
    <row r="13497" spans="1:6" hidden="1" x14ac:dyDescent="0.25">
      <c r="A13497" t="s">
        <v>717</v>
      </c>
      <c r="B13497" t="s">
        <v>189</v>
      </c>
      <c r="E13497" s="3">
        <f>HYPERLINK("https://sao.dolgi.msk.ru/account/1404092874/", 1404092874)</f>
        <v>1404092874</v>
      </c>
      <c r="F13497">
        <v>-5369.1</v>
      </c>
    </row>
    <row r="13498" spans="1:6" x14ac:dyDescent="0.25">
      <c r="A13498" t="s">
        <v>717</v>
      </c>
      <c r="B13498" t="s">
        <v>190</v>
      </c>
      <c r="C13498" s="5" t="str">
        <f>" кв. "&amp;B13498</f>
        <v xml:space="preserve"> кв. 186</v>
      </c>
      <c r="D13498" s="5" t="str">
        <f>CONCATENATE(A13498,C13498)</f>
        <v>Фестивальная ул., дом 41 к.1 кв. 186</v>
      </c>
      <c r="E13498" s="3">
        <f>HYPERLINK("https://sao.dolgi.msk.ru/account/1404094781/", 1404094781)</f>
        <v>1404094781</v>
      </c>
      <c r="F13498">
        <v>3603.72</v>
      </c>
    </row>
    <row r="13499" spans="1:6" hidden="1" x14ac:dyDescent="0.25">
      <c r="A13499" t="s">
        <v>717</v>
      </c>
      <c r="B13499" t="s">
        <v>191</v>
      </c>
      <c r="E13499" s="3">
        <f>HYPERLINK("https://sao.dolgi.msk.ru/account/1404150296/", 1404150296)</f>
        <v>1404150296</v>
      </c>
      <c r="F13499">
        <v>-2934.57</v>
      </c>
    </row>
    <row r="13500" spans="1:6" hidden="1" x14ac:dyDescent="0.25">
      <c r="A13500" t="s">
        <v>717</v>
      </c>
      <c r="B13500" t="s">
        <v>192</v>
      </c>
      <c r="E13500" s="3">
        <f>HYPERLINK("https://sao.dolgi.msk.ru/account/1404091759/", 1404091759)</f>
        <v>1404091759</v>
      </c>
      <c r="F13500">
        <v>-4293.12</v>
      </c>
    </row>
    <row r="13501" spans="1:6" hidden="1" x14ac:dyDescent="0.25">
      <c r="A13501" t="s">
        <v>717</v>
      </c>
      <c r="B13501" t="s">
        <v>193</v>
      </c>
      <c r="E13501" s="3">
        <f>HYPERLINK("https://sao.dolgi.msk.ru/account/1404097771/", 1404097771)</f>
        <v>1404097771</v>
      </c>
      <c r="F13501">
        <v>0</v>
      </c>
    </row>
    <row r="13502" spans="1:6" hidden="1" x14ac:dyDescent="0.25">
      <c r="A13502" t="s">
        <v>717</v>
      </c>
      <c r="B13502" t="s">
        <v>194</v>
      </c>
      <c r="E13502" s="3">
        <f>HYPERLINK("https://sao.dolgi.msk.ru/account/1404100555/", 1404100555)</f>
        <v>1404100555</v>
      </c>
      <c r="F13502">
        <v>-4764.83</v>
      </c>
    </row>
    <row r="13503" spans="1:6" hidden="1" x14ac:dyDescent="0.25">
      <c r="A13503" t="s">
        <v>717</v>
      </c>
      <c r="B13503" t="s">
        <v>195</v>
      </c>
      <c r="E13503" s="3">
        <f>HYPERLINK("https://sao.dolgi.msk.ru/account/1404093076/", 1404093076)</f>
        <v>1404093076</v>
      </c>
      <c r="F13503">
        <v>0</v>
      </c>
    </row>
    <row r="13504" spans="1:6" hidden="1" x14ac:dyDescent="0.25">
      <c r="A13504" t="s">
        <v>717</v>
      </c>
      <c r="B13504" t="s">
        <v>196</v>
      </c>
      <c r="E13504" s="3">
        <f>HYPERLINK("https://sao.dolgi.msk.ru/account/1404091847/", 1404091847)</f>
        <v>1404091847</v>
      </c>
      <c r="F13504">
        <v>-5820.2</v>
      </c>
    </row>
    <row r="13505" spans="1:6" hidden="1" x14ac:dyDescent="0.25">
      <c r="A13505" t="s">
        <v>717</v>
      </c>
      <c r="B13505" t="s">
        <v>197</v>
      </c>
      <c r="E13505" s="3">
        <f>HYPERLINK("https://sao.dolgi.msk.ru/account/1404147521/", 1404147521)</f>
        <v>1404147521</v>
      </c>
      <c r="F13505">
        <v>-3506.01</v>
      </c>
    </row>
    <row r="13506" spans="1:6" x14ac:dyDescent="0.25">
      <c r="A13506" t="s">
        <v>717</v>
      </c>
      <c r="B13506" t="s">
        <v>198</v>
      </c>
      <c r="C13506" s="5" t="str">
        <f>" кв. "&amp;B13506</f>
        <v xml:space="preserve"> кв. 194</v>
      </c>
      <c r="D13506" s="5" t="str">
        <f>CONCATENATE(A13506,C13506)</f>
        <v>Фестивальная ул., дом 41 к.1 кв. 194</v>
      </c>
      <c r="E13506" s="3">
        <f>HYPERLINK("https://sao.dolgi.msk.ru/account/1404092305/", 1404092305)</f>
        <v>1404092305</v>
      </c>
      <c r="F13506">
        <v>4156.42</v>
      </c>
    </row>
    <row r="13507" spans="1:6" hidden="1" x14ac:dyDescent="0.25">
      <c r="A13507" t="s">
        <v>717</v>
      </c>
      <c r="B13507" t="s">
        <v>199</v>
      </c>
      <c r="E13507" s="3">
        <f>HYPERLINK("https://sao.dolgi.msk.ru/account/1404091943/", 1404091943)</f>
        <v>1404091943</v>
      </c>
      <c r="F13507">
        <v>-5179.78</v>
      </c>
    </row>
    <row r="13508" spans="1:6" hidden="1" x14ac:dyDescent="0.25">
      <c r="A13508" t="s">
        <v>717</v>
      </c>
      <c r="B13508" t="s">
        <v>200</v>
      </c>
      <c r="E13508" s="3">
        <f>HYPERLINK("https://sao.dolgi.msk.ru/account/1404100571/", 1404100571)</f>
        <v>1404100571</v>
      </c>
      <c r="F13508">
        <v>-5515.8</v>
      </c>
    </row>
    <row r="13509" spans="1:6" hidden="1" x14ac:dyDescent="0.25">
      <c r="A13509" t="s">
        <v>717</v>
      </c>
      <c r="B13509" t="s">
        <v>201</v>
      </c>
      <c r="E13509" s="3">
        <f>HYPERLINK("https://sao.dolgi.msk.ru/account/1404093148/", 1404093148)</f>
        <v>1404093148</v>
      </c>
      <c r="F13509">
        <v>-5424.69</v>
      </c>
    </row>
    <row r="13510" spans="1:6" hidden="1" x14ac:dyDescent="0.25">
      <c r="A13510" t="s">
        <v>717</v>
      </c>
      <c r="B13510" t="s">
        <v>202</v>
      </c>
      <c r="E13510" s="3">
        <f>HYPERLINK("https://sao.dolgi.msk.ru/account/1404094853/", 1404094853)</f>
        <v>1404094853</v>
      </c>
      <c r="F13510">
        <v>-5094.7700000000004</v>
      </c>
    </row>
    <row r="13511" spans="1:6" x14ac:dyDescent="0.25">
      <c r="A13511" t="s">
        <v>717</v>
      </c>
      <c r="B13511" t="s">
        <v>203</v>
      </c>
      <c r="C13511" s="5" t="str">
        <f>" кв. "&amp;B13511</f>
        <v xml:space="preserve"> кв. 199</v>
      </c>
      <c r="D13511" s="5" t="str">
        <f>CONCATENATE(A13511,C13511)</f>
        <v>Фестивальная ул., дом 41 к.1 кв. 199</v>
      </c>
      <c r="E13511" s="3">
        <f>HYPERLINK("https://sao.dolgi.msk.ru/account/1404093092/", 1404093092)</f>
        <v>1404093092</v>
      </c>
      <c r="F13511">
        <v>2922.53</v>
      </c>
    </row>
    <row r="13512" spans="1:6" hidden="1" x14ac:dyDescent="0.25">
      <c r="A13512" t="s">
        <v>717</v>
      </c>
      <c r="B13512" t="s">
        <v>204</v>
      </c>
      <c r="E13512" s="3">
        <f>HYPERLINK("https://sao.dolgi.msk.ru/account/1404139409/", 1404139409)</f>
        <v>1404139409</v>
      </c>
      <c r="F13512">
        <v>-5371.32</v>
      </c>
    </row>
    <row r="13513" spans="1:6" hidden="1" x14ac:dyDescent="0.25">
      <c r="A13513" t="s">
        <v>717</v>
      </c>
      <c r="B13513" t="s">
        <v>205</v>
      </c>
      <c r="E13513" s="3">
        <f>HYPERLINK("https://sao.dolgi.msk.ru/account/1404092153/", 1404092153)</f>
        <v>1404092153</v>
      </c>
      <c r="F13513">
        <v>-4540.12</v>
      </c>
    </row>
    <row r="13514" spans="1:6" hidden="1" x14ac:dyDescent="0.25">
      <c r="A13514" t="s">
        <v>717</v>
      </c>
      <c r="B13514" t="s">
        <v>206</v>
      </c>
      <c r="E13514" s="3">
        <f>HYPERLINK("https://sao.dolgi.msk.ru/account/1404139783/", 1404139783)</f>
        <v>1404139783</v>
      </c>
      <c r="F13514">
        <v>-4378.3999999999996</v>
      </c>
    </row>
    <row r="13515" spans="1:6" hidden="1" x14ac:dyDescent="0.25">
      <c r="A13515" t="s">
        <v>717</v>
      </c>
      <c r="B13515" t="s">
        <v>207</v>
      </c>
      <c r="E13515" s="3">
        <f>HYPERLINK("https://sao.dolgi.msk.ru/account/1404100619/", 1404100619)</f>
        <v>1404100619</v>
      </c>
      <c r="F13515">
        <v>-6705.1</v>
      </c>
    </row>
    <row r="13516" spans="1:6" hidden="1" x14ac:dyDescent="0.25">
      <c r="A13516" t="s">
        <v>717</v>
      </c>
      <c r="B13516" t="s">
        <v>208</v>
      </c>
      <c r="E13516" s="3">
        <f>HYPERLINK("https://sao.dolgi.msk.ru/account/1404093113/", 1404093113)</f>
        <v>1404093113</v>
      </c>
      <c r="F13516">
        <v>0</v>
      </c>
    </row>
    <row r="13517" spans="1:6" hidden="1" x14ac:dyDescent="0.25">
      <c r="A13517" t="s">
        <v>717</v>
      </c>
      <c r="B13517" t="s">
        <v>209</v>
      </c>
      <c r="E13517" s="3">
        <f>HYPERLINK("https://sao.dolgi.msk.ru/account/1404139978/", 1404139978)</f>
        <v>1404139978</v>
      </c>
      <c r="F13517">
        <v>-3242.62</v>
      </c>
    </row>
    <row r="13518" spans="1:6" hidden="1" x14ac:dyDescent="0.25">
      <c r="A13518" t="s">
        <v>717</v>
      </c>
      <c r="B13518" t="s">
        <v>210</v>
      </c>
      <c r="E13518" s="3">
        <f>HYPERLINK("https://sao.dolgi.msk.ru/account/1404100635/", 1404100635)</f>
        <v>1404100635</v>
      </c>
      <c r="F13518">
        <v>-6696.07</v>
      </c>
    </row>
    <row r="13519" spans="1:6" hidden="1" x14ac:dyDescent="0.25">
      <c r="A13519" t="s">
        <v>717</v>
      </c>
      <c r="B13519" t="s">
        <v>211</v>
      </c>
      <c r="E13519" s="3">
        <f>HYPERLINK("https://sao.dolgi.msk.ru/account/1404092735/", 1404092735)</f>
        <v>1404092735</v>
      </c>
      <c r="F13519">
        <v>-3477.27</v>
      </c>
    </row>
    <row r="13520" spans="1:6" hidden="1" x14ac:dyDescent="0.25">
      <c r="A13520" t="s">
        <v>717</v>
      </c>
      <c r="B13520" t="s">
        <v>212</v>
      </c>
      <c r="E13520" s="3">
        <f>HYPERLINK("https://sao.dolgi.msk.ru/account/1404100643/", 1404100643)</f>
        <v>1404100643</v>
      </c>
      <c r="F13520">
        <v>-4061.42</v>
      </c>
    </row>
    <row r="13521" spans="1:6" hidden="1" x14ac:dyDescent="0.25">
      <c r="A13521" t="s">
        <v>717</v>
      </c>
      <c r="B13521" t="s">
        <v>213</v>
      </c>
      <c r="E13521" s="3">
        <f>HYPERLINK("https://sao.dolgi.msk.ru/account/1404150544/", 1404150544)</f>
        <v>1404150544</v>
      </c>
      <c r="F13521">
        <v>-5242.89</v>
      </c>
    </row>
    <row r="13522" spans="1:6" hidden="1" x14ac:dyDescent="0.25">
      <c r="A13522" t="s">
        <v>717</v>
      </c>
      <c r="B13522" t="s">
        <v>214</v>
      </c>
      <c r="E13522" s="3">
        <f>HYPERLINK("https://sao.dolgi.msk.ru/account/1404091919/", 1404091919)</f>
        <v>1404091919</v>
      </c>
      <c r="F13522">
        <v>-7633.82</v>
      </c>
    </row>
    <row r="13523" spans="1:6" hidden="1" x14ac:dyDescent="0.25">
      <c r="A13523" t="s">
        <v>717</v>
      </c>
      <c r="B13523" t="s">
        <v>215</v>
      </c>
      <c r="E13523" s="3">
        <f>HYPERLINK("https://sao.dolgi.msk.ru/account/1404140143/", 1404140143)</f>
        <v>1404140143</v>
      </c>
      <c r="F13523">
        <v>-4618.3599999999997</v>
      </c>
    </row>
    <row r="13524" spans="1:6" hidden="1" x14ac:dyDescent="0.25">
      <c r="A13524" t="s">
        <v>717</v>
      </c>
      <c r="B13524" t="s">
        <v>216</v>
      </c>
      <c r="E13524" s="3">
        <f>HYPERLINK("https://sao.dolgi.msk.ru/account/1404094159/", 1404094159)</f>
        <v>1404094159</v>
      </c>
      <c r="F13524">
        <v>-5987.15</v>
      </c>
    </row>
    <row r="13525" spans="1:6" hidden="1" x14ac:dyDescent="0.25">
      <c r="A13525" t="s">
        <v>717</v>
      </c>
      <c r="B13525" t="s">
        <v>217</v>
      </c>
      <c r="E13525" s="3">
        <f>HYPERLINK("https://sao.dolgi.msk.ru/account/1404092188/", 1404092188)</f>
        <v>1404092188</v>
      </c>
      <c r="F13525">
        <v>-13012.77</v>
      </c>
    </row>
    <row r="13526" spans="1:6" hidden="1" x14ac:dyDescent="0.25">
      <c r="A13526" t="s">
        <v>717</v>
      </c>
      <c r="B13526" t="s">
        <v>218</v>
      </c>
      <c r="E13526" s="3">
        <f>HYPERLINK("https://sao.dolgi.msk.ru/account/1404091708/", 1404091708)</f>
        <v>1404091708</v>
      </c>
      <c r="F13526">
        <v>-4030.12</v>
      </c>
    </row>
    <row r="13527" spans="1:6" hidden="1" x14ac:dyDescent="0.25">
      <c r="A13527" t="s">
        <v>717</v>
      </c>
      <c r="B13527" t="s">
        <v>219</v>
      </c>
      <c r="E13527" s="3">
        <f>HYPERLINK("https://sao.dolgi.msk.ru/account/1404091548/", 1404091548)</f>
        <v>1404091548</v>
      </c>
      <c r="F13527">
        <v>-5256.68</v>
      </c>
    </row>
    <row r="13528" spans="1:6" hidden="1" x14ac:dyDescent="0.25">
      <c r="A13528" t="s">
        <v>717</v>
      </c>
      <c r="B13528" t="s">
        <v>220</v>
      </c>
      <c r="E13528" s="3">
        <f>HYPERLINK("https://sao.dolgi.msk.ru/account/1404155281/", 1404155281)</f>
        <v>1404155281</v>
      </c>
      <c r="F13528">
        <v>-7580.36</v>
      </c>
    </row>
    <row r="13529" spans="1:6" hidden="1" x14ac:dyDescent="0.25">
      <c r="A13529" t="s">
        <v>717</v>
      </c>
      <c r="B13529" t="s">
        <v>221</v>
      </c>
      <c r="E13529" s="3">
        <f>HYPERLINK("https://sao.dolgi.msk.ru/account/1404092268/", 1404092268)</f>
        <v>1404092268</v>
      </c>
      <c r="F13529">
        <v>-1914.92</v>
      </c>
    </row>
    <row r="13530" spans="1:6" hidden="1" x14ac:dyDescent="0.25">
      <c r="A13530" t="s">
        <v>717</v>
      </c>
      <c r="B13530" t="s">
        <v>222</v>
      </c>
      <c r="E13530" s="3">
        <f>HYPERLINK("https://sao.dolgi.msk.ru/account/1404100694/", 1404100694)</f>
        <v>1404100694</v>
      </c>
      <c r="F13530">
        <v>-6155.89</v>
      </c>
    </row>
    <row r="13531" spans="1:6" hidden="1" x14ac:dyDescent="0.25">
      <c r="A13531" t="s">
        <v>717</v>
      </c>
      <c r="B13531" t="s">
        <v>223</v>
      </c>
      <c r="E13531" s="3">
        <f>HYPERLINK("https://sao.dolgi.msk.ru/account/1404100707/", 1404100707)</f>
        <v>1404100707</v>
      </c>
      <c r="F13531">
        <v>-5991.56</v>
      </c>
    </row>
    <row r="13532" spans="1:6" hidden="1" x14ac:dyDescent="0.25">
      <c r="A13532" t="s">
        <v>717</v>
      </c>
      <c r="B13532" t="s">
        <v>224</v>
      </c>
      <c r="E13532" s="3">
        <f>HYPERLINK("https://sao.dolgi.msk.ru/account/1404100715/", 1404100715)</f>
        <v>1404100715</v>
      </c>
      <c r="F13532">
        <v>-5258.83</v>
      </c>
    </row>
    <row r="13533" spans="1:6" hidden="1" x14ac:dyDescent="0.25">
      <c r="A13533" t="s">
        <v>717</v>
      </c>
      <c r="B13533" t="s">
        <v>225</v>
      </c>
      <c r="E13533" s="3">
        <f>HYPERLINK("https://sao.dolgi.msk.ru/account/1404154529/", 1404154529)</f>
        <v>1404154529</v>
      </c>
      <c r="F13533">
        <v>-6333.66</v>
      </c>
    </row>
    <row r="13534" spans="1:6" hidden="1" x14ac:dyDescent="0.25">
      <c r="A13534" t="s">
        <v>718</v>
      </c>
      <c r="B13534" t="s">
        <v>5</v>
      </c>
      <c r="E13534" s="3">
        <f>HYPERLINK("https://sao.dolgi.msk.ru/account/1404217374/", 1404217374)</f>
        <v>1404217374</v>
      </c>
      <c r="F13534">
        <v>-3159.87</v>
      </c>
    </row>
    <row r="13535" spans="1:6" hidden="1" x14ac:dyDescent="0.25">
      <c r="A13535" t="s">
        <v>718</v>
      </c>
      <c r="B13535" t="s">
        <v>6</v>
      </c>
      <c r="E13535" s="3">
        <f>HYPERLINK("https://sao.dolgi.msk.ru/account/1404216216/", 1404216216)</f>
        <v>1404216216</v>
      </c>
      <c r="F13535">
        <v>-1904.55</v>
      </c>
    </row>
    <row r="13536" spans="1:6" x14ac:dyDescent="0.25">
      <c r="A13536" t="s">
        <v>718</v>
      </c>
      <c r="B13536" t="s">
        <v>7</v>
      </c>
      <c r="C13536" s="5" t="str">
        <f>" кв. "&amp;B13536</f>
        <v xml:space="preserve"> кв. 3</v>
      </c>
      <c r="D13536" s="5" t="str">
        <f>CONCATENATE(A13536,C13536)</f>
        <v>Фестивальная ул., дом 41 к.2 кв. 3</v>
      </c>
      <c r="E13536" s="3">
        <f>HYPERLINK("https://sao.dolgi.msk.ru/account/1404217227/", 1404217227)</f>
        <v>1404217227</v>
      </c>
      <c r="F13536">
        <v>1364.75</v>
      </c>
    </row>
    <row r="13537" spans="1:6" hidden="1" x14ac:dyDescent="0.25">
      <c r="A13537" t="s">
        <v>718</v>
      </c>
      <c r="B13537" t="s">
        <v>8</v>
      </c>
      <c r="E13537" s="3">
        <f>HYPERLINK("https://sao.dolgi.msk.ru/account/1404216523/", 1404216523)</f>
        <v>1404216523</v>
      </c>
      <c r="F13537">
        <v>-3457.3</v>
      </c>
    </row>
    <row r="13538" spans="1:6" hidden="1" x14ac:dyDescent="0.25">
      <c r="A13538" t="s">
        <v>718</v>
      </c>
      <c r="B13538" t="s">
        <v>9</v>
      </c>
      <c r="E13538" s="3">
        <f>HYPERLINK("https://sao.dolgi.msk.ru/account/1404217665/", 1404217665)</f>
        <v>1404217665</v>
      </c>
      <c r="F13538">
        <v>-2082.5100000000002</v>
      </c>
    </row>
    <row r="13539" spans="1:6" hidden="1" x14ac:dyDescent="0.25">
      <c r="A13539" t="s">
        <v>718</v>
      </c>
      <c r="B13539" t="s">
        <v>10</v>
      </c>
      <c r="E13539" s="3">
        <f>HYPERLINK("https://sao.dolgi.msk.ru/account/1404216478/", 1404216478)</f>
        <v>1404216478</v>
      </c>
      <c r="F13539">
        <v>0</v>
      </c>
    </row>
    <row r="13540" spans="1:6" hidden="1" x14ac:dyDescent="0.25">
      <c r="A13540" t="s">
        <v>718</v>
      </c>
      <c r="B13540" t="s">
        <v>11</v>
      </c>
      <c r="E13540" s="3">
        <f>HYPERLINK("https://sao.dolgi.msk.ru/account/1404217083/", 1404217083)</f>
        <v>1404217083</v>
      </c>
      <c r="F13540">
        <v>0</v>
      </c>
    </row>
    <row r="13541" spans="1:6" hidden="1" x14ac:dyDescent="0.25">
      <c r="A13541" t="s">
        <v>718</v>
      </c>
      <c r="B13541" t="s">
        <v>12</v>
      </c>
      <c r="E13541" s="3">
        <f>HYPERLINK("https://sao.dolgi.msk.ru/account/1404216558/", 1404216558)</f>
        <v>1404216558</v>
      </c>
      <c r="F13541">
        <v>-2680.8</v>
      </c>
    </row>
    <row r="13542" spans="1:6" hidden="1" x14ac:dyDescent="0.25">
      <c r="A13542" t="s">
        <v>718</v>
      </c>
      <c r="B13542" t="s">
        <v>13</v>
      </c>
      <c r="E13542" s="3">
        <f>HYPERLINK("https://sao.dolgi.msk.ru/account/1404217032/", 1404217032)</f>
        <v>1404217032</v>
      </c>
      <c r="F13542">
        <v>-1088.46</v>
      </c>
    </row>
    <row r="13543" spans="1:6" hidden="1" x14ac:dyDescent="0.25">
      <c r="A13543" t="s">
        <v>718</v>
      </c>
      <c r="B13543" t="s">
        <v>14</v>
      </c>
      <c r="E13543" s="3">
        <f>HYPERLINK("https://sao.dolgi.msk.ru/account/1404217366/", 1404217366)</f>
        <v>1404217366</v>
      </c>
      <c r="F13543">
        <v>-2454.31</v>
      </c>
    </row>
    <row r="13544" spans="1:6" hidden="1" x14ac:dyDescent="0.25">
      <c r="A13544" t="s">
        <v>718</v>
      </c>
      <c r="B13544" t="s">
        <v>15</v>
      </c>
      <c r="E13544" s="3">
        <f>HYPERLINK("https://sao.dolgi.msk.ru/account/1404216347/", 1404216347)</f>
        <v>1404216347</v>
      </c>
      <c r="F13544">
        <v>0</v>
      </c>
    </row>
    <row r="13545" spans="1:6" hidden="1" x14ac:dyDescent="0.25">
      <c r="A13545" t="s">
        <v>718</v>
      </c>
      <c r="B13545" t="s">
        <v>16</v>
      </c>
      <c r="E13545" s="3">
        <f>HYPERLINK("https://sao.dolgi.msk.ru/account/1404215627/", 1404215627)</f>
        <v>1404215627</v>
      </c>
      <c r="F13545">
        <v>0</v>
      </c>
    </row>
    <row r="13546" spans="1:6" hidden="1" x14ac:dyDescent="0.25">
      <c r="A13546" t="s">
        <v>718</v>
      </c>
      <c r="B13546" t="s">
        <v>17</v>
      </c>
      <c r="E13546" s="3">
        <f>HYPERLINK("https://sao.dolgi.msk.ru/account/1404217534/", 1404217534)</f>
        <v>1404217534</v>
      </c>
      <c r="F13546">
        <v>-882.81</v>
      </c>
    </row>
    <row r="13547" spans="1:6" hidden="1" x14ac:dyDescent="0.25">
      <c r="A13547" t="s">
        <v>718</v>
      </c>
      <c r="B13547" t="s">
        <v>18</v>
      </c>
      <c r="E13547" s="3">
        <f>HYPERLINK("https://sao.dolgi.msk.ru/account/1404216339/", 1404216339)</f>
        <v>1404216339</v>
      </c>
      <c r="F13547">
        <v>-5352.9</v>
      </c>
    </row>
    <row r="13548" spans="1:6" x14ac:dyDescent="0.25">
      <c r="A13548" t="s">
        <v>718</v>
      </c>
      <c r="B13548" t="s">
        <v>19</v>
      </c>
      <c r="C13548" s="5" t="str">
        <f>" кв. "&amp;B13548</f>
        <v xml:space="preserve"> кв. 15</v>
      </c>
      <c r="D13548" s="5" t="str">
        <f>CONCATENATE(A13548,C13548)</f>
        <v>Фестивальная ул., дом 41 к.2 кв. 15</v>
      </c>
      <c r="E13548" s="3">
        <f>HYPERLINK("https://sao.dolgi.msk.ru/account/1404216734/", 1404216734)</f>
        <v>1404216734</v>
      </c>
      <c r="F13548">
        <v>1698.53</v>
      </c>
    </row>
    <row r="13549" spans="1:6" hidden="1" x14ac:dyDescent="0.25">
      <c r="A13549" t="s">
        <v>718</v>
      </c>
      <c r="B13549" t="s">
        <v>20</v>
      </c>
      <c r="E13549" s="3">
        <f>HYPERLINK("https://sao.dolgi.msk.ru/account/1404217024/", 1404217024)</f>
        <v>1404217024</v>
      </c>
      <c r="F13549">
        <v>-1710.17</v>
      </c>
    </row>
    <row r="13550" spans="1:6" x14ac:dyDescent="0.25">
      <c r="A13550" t="s">
        <v>718</v>
      </c>
      <c r="B13550" t="s">
        <v>21</v>
      </c>
      <c r="C13550" s="5" t="str">
        <f>" кв. "&amp;B13550</f>
        <v xml:space="preserve"> кв. 17</v>
      </c>
      <c r="D13550" s="5" t="str">
        <f>CONCATENATE(A13550,C13550)</f>
        <v>Фестивальная ул., дом 41 к.2 кв. 17</v>
      </c>
      <c r="E13550" s="3">
        <f>HYPERLINK("https://sao.dolgi.msk.ru/account/1404215846/", 1404215846)</f>
        <v>1404215846</v>
      </c>
      <c r="F13550">
        <v>1635.27</v>
      </c>
    </row>
    <row r="13551" spans="1:6" hidden="1" x14ac:dyDescent="0.25">
      <c r="A13551" t="s">
        <v>718</v>
      </c>
      <c r="B13551" t="s">
        <v>22</v>
      </c>
      <c r="E13551" s="3">
        <f>HYPERLINK("https://sao.dolgi.msk.ru/account/1404217745/", 1404217745)</f>
        <v>1404217745</v>
      </c>
      <c r="F13551">
        <v>0</v>
      </c>
    </row>
    <row r="13552" spans="1:6" hidden="1" x14ac:dyDescent="0.25">
      <c r="A13552" t="s">
        <v>718</v>
      </c>
      <c r="B13552" t="s">
        <v>23</v>
      </c>
      <c r="E13552" s="3">
        <f>HYPERLINK("https://sao.dolgi.msk.ru/account/1404217243/", 1404217243)</f>
        <v>1404217243</v>
      </c>
      <c r="F13552">
        <v>0</v>
      </c>
    </row>
    <row r="13553" spans="1:6" hidden="1" x14ac:dyDescent="0.25">
      <c r="A13553" t="s">
        <v>718</v>
      </c>
      <c r="B13553" t="s">
        <v>24</v>
      </c>
      <c r="E13553" s="3">
        <f>HYPERLINK("https://sao.dolgi.msk.ru/account/1404216363/", 1404216363)</f>
        <v>1404216363</v>
      </c>
      <c r="F13553">
        <v>-2482.0500000000002</v>
      </c>
    </row>
    <row r="13554" spans="1:6" hidden="1" x14ac:dyDescent="0.25">
      <c r="A13554" t="s">
        <v>718</v>
      </c>
      <c r="B13554" t="s">
        <v>25</v>
      </c>
      <c r="E13554" s="3">
        <f>HYPERLINK("https://sao.dolgi.msk.ru/account/1404218318/", 1404218318)</f>
        <v>1404218318</v>
      </c>
      <c r="F13554">
        <v>0</v>
      </c>
    </row>
    <row r="13555" spans="1:6" hidden="1" x14ac:dyDescent="0.25">
      <c r="A13555" t="s">
        <v>718</v>
      </c>
      <c r="B13555" t="s">
        <v>26</v>
      </c>
      <c r="E13555" s="3">
        <f>HYPERLINK("https://sao.dolgi.msk.ru/account/1404217905/", 1404217905)</f>
        <v>1404217905</v>
      </c>
      <c r="F13555">
        <v>-2394.23</v>
      </c>
    </row>
    <row r="13556" spans="1:6" hidden="1" x14ac:dyDescent="0.25">
      <c r="A13556" t="s">
        <v>718</v>
      </c>
      <c r="B13556" t="s">
        <v>27</v>
      </c>
      <c r="E13556" s="3">
        <f>HYPERLINK("https://sao.dolgi.msk.ru/account/1404216275/", 1404216275)</f>
        <v>1404216275</v>
      </c>
      <c r="F13556">
        <v>-2653.06</v>
      </c>
    </row>
    <row r="13557" spans="1:6" x14ac:dyDescent="0.25">
      <c r="A13557" t="s">
        <v>718</v>
      </c>
      <c r="B13557" t="s">
        <v>28</v>
      </c>
      <c r="C13557" s="5" t="str">
        <f>" кв. "&amp;B13557</f>
        <v xml:space="preserve"> кв. 24</v>
      </c>
      <c r="D13557" s="5" t="str">
        <f>CONCATENATE(A13557,C13557)</f>
        <v>Фестивальная ул., дом 41 к.2 кв. 24</v>
      </c>
      <c r="E13557" s="3">
        <f>HYPERLINK("https://sao.dolgi.msk.ru/account/1404216718/", 1404216718)</f>
        <v>1404216718</v>
      </c>
      <c r="F13557">
        <v>2356.44</v>
      </c>
    </row>
    <row r="13558" spans="1:6" hidden="1" x14ac:dyDescent="0.25">
      <c r="A13558" t="s">
        <v>718</v>
      </c>
      <c r="B13558" t="s">
        <v>29</v>
      </c>
      <c r="E13558" s="3">
        <f>HYPERLINK("https://sao.dolgi.msk.ru/account/1404218107/", 1404218107)</f>
        <v>1404218107</v>
      </c>
      <c r="F13558">
        <v>-2495.92</v>
      </c>
    </row>
    <row r="13559" spans="1:6" x14ac:dyDescent="0.25">
      <c r="A13559" t="s">
        <v>718</v>
      </c>
      <c r="B13559" t="s">
        <v>30</v>
      </c>
      <c r="C13559" s="5" t="str">
        <f>" кв. "&amp;B13559</f>
        <v xml:space="preserve"> кв. 26</v>
      </c>
      <c r="D13559" s="5" t="str">
        <f>CONCATENATE(A13559,C13559)</f>
        <v>Фестивальная ул., дом 41 к.2 кв. 26</v>
      </c>
      <c r="E13559" s="3">
        <f>HYPERLINK("https://sao.dolgi.msk.ru/account/1404217964/", 1404217964)</f>
        <v>1404217964</v>
      </c>
      <c r="F13559">
        <v>1157.6600000000001</v>
      </c>
    </row>
    <row r="13560" spans="1:6" hidden="1" x14ac:dyDescent="0.25">
      <c r="A13560" t="s">
        <v>718</v>
      </c>
      <c r="B13560" t="s">
        <v>31</v>
      </c>
      <c r="E13560" s="3">
        <f>HYPERLINK("https://sao.dolgi.msk.ru/account/1404215985/", 1404215985)</f>
        <v>1404215985</v>
      </c>
      <c r="F13560">
        <v>-2375.7399999999998</v>
      </c>
    </row>
    <row r="13561" spans="1:6" hidden="1" x14ac:dyDescent="0.25">
      <c r="A13561" t="s">
        <v>718</v>
      </c>
      <c r="B13561" t="s">
        <v>32</v>
      </c>
      <c r="E13561" s="3">
        <f>HYPERLINK("https://sao.dolgi.msk.ru/account/1404217681/", 1404217681)</f>
        <v>1404217681</v>
      </c>
      <c r="F13561">
        <v>0</v>
      </c>
    </row>
    <row r="13562" spans="1:6" hidden="1" x14ac:dyDescent="0.25">
      <c r="A13562" t="s">
        <v>718</v>
      </c>
      <c r="B13562" t="s">
        <v>33</v>
      </c>
      <c r="E13562" s="3">
        <f>HYPERLINK("https://sao.dolgi.msk.ru/account/1404216953/", 1404216953)</f>
        <v>1404216953</v>
      </c>
      <c r="F13562">
        <v>-3443.44</v>
      </c>
    </row>
    <row r="13563" spans="1:6" hidden="1" x14ac:dyDescent="0.25">
      <c r="A13563" t="s">
        <v>718</v>
      </c>
      <c r="B13563" t="s">
        <v>34</v>
      </c>
      <c r="E13563" s="3">
        <f>HYPERLINK("https://sao.dolgi.msk.ru/account/1404216144/", 1404216144)</f>
        <v>1404216144</v>
      </c>
      <c r="F13563">
        <v>0</v>
      </c>
    </row>
    <row r="13564" spans="1:6" hidden="1" x14ac:dyDescent="0.25">
      <c r="A13564" t="s">
        <v>718</v>
      </c>
      <c r="B13564" t="s">
        <v>35</v>
      </c>
      <c r="E13564" s="3">
        <f>HYPERLINK("https://sao.dolgi.msk.ru/account/1404217219/", 1404217219)</f>
        <v>1404217219</v>
      </c>
      <c r="F13564">
        <v>-1691.68</v>
      </c>
    </row>
    <row r="13565" spans="1:6" hidden="1" x14ac:dyDescent="0.25">
      <c r="A13565" t="s">
        <v>718</v>
      </c>
      <c r="B13565" t="s">
        <v>36</v>
      </c>
      <c r="E13565" s="3">
        <f>HYPERLINK("https://sao.dolgi.msk.ru/account/1404218115/", 1404218115)</f>
        <v>1404218115</v>
      </c>
      <c r="F13565">
        <v>0</v>
      </c>
    </row>
    <row r="13566" spans="1:6" x14ac:dyDescent="0.25">
      <c r="A13566" t="s">
        <v>718</v>
      </c>
      <c r="B13566" t="s">
        <v>37</v>
      </c>
      <c r="C13566" s="5" t="str">
        <f t="shared" ref="C13566:C13567" si="545">" кв. "&amp;B13566</f>
        <v xml:space="preserve"> кв. 33</v>
      </c>
      <c r="D13566" s="5" t="str">
        <f>CONCATENATE(A13566,C13566)</f>
        <v>Фестивальная ул., дом 41 к.2 кв. 33</v>
      </c>
      <c r="E13566" s="3">
        <f>HYPERLINK("https://sao.dolgi.msk.ru/account/1404218019/", 1404218019)</f>
        <v>1404218019</v>
      </c>
      <c r="F13566">
        <v>1290.5</v>
      </c>
    </row>
    <row r="13567" spans="1:6" x14ac:dyDescent="0.25">
      <c r="A13567" t="s">
        <v>718</v>
      </c>
      <c r="B13567" t="s">
        <v>38</v>
      </c>
      <c r="C13567" s="5" t="str">
        <f t="shared" si="545"/>
        <v xml:space="preserve"> кв. 34</v>
      </c>
      <c r="D13567" s="5" t="str">
        <f>CONCATENATE(A13567,C13567)</f>
        <v>Фестивальная ул., дом 41 к.2 кв. 34</v>
      </c>
      <c r="E13567" s="3">
        <f>HYPERLINK("https://sao.dolgi.msk.ru/account/1404217438/", 1404217438)</f>
        <v>1404217438</v>
      </c>
      <c r="F13567">
        <v>2353.27</v>
      </c>
    </row>
    <row r="13568" spans="1:6" hidden="1" x14ac:dyDescent="0.25">
      <c r="A13568" t="s">
        <v>718</v>
      </c>
      <c r="B13568" t="s">
        <v>39</v>
      </c>
      <c r="E13568" s="3">
        <f>HYPERLINK("https://sao.dolgi.msk.ru/account/1404217139/", 1404217139)</f>
        <v>1404217139</v>
      </c>
      <c r="F13568">
        <v>-2477.4299999999998</v>
      </c>
    </row>
    <row r="13569" spans="1:6" hidden="1" x14ac:dyDescent="0.25">
      <c r="A13569" t="s">
        <v>718</v>
      </c>
      <c r="B13569" t="s">
        <v>40</v>
      </c>
      <c r="E13569" s="3">
        <f>HYPERLINK("https://sao.dolgi.msk.ru/account/1404217163/", 1404217163)</f>
        <v>1404217163</v>
      </c>
      <c r="F13569">
        <v>0</v>
      </c>
    </row>
    <row r="13570" spans="1:6" hidden="1" x14ac:dyDescent="0.25">
      <c r="A13570" t="s">
        <v>718</v>
      </c>
      <c r="B13570" t="s">
        <v>41</v>
      </c>
      <c r="E13570" s="3">
        <f>HYPERLINK("https://sao.dolgi.msk.ru/account/1404217286/", 1404217286)</f>
        <v>1404217286</v>
      </c>
      <c r="F13570">
        <v>0</v>
      </c>
    </row>
    <row r="13571" spans="1:6" hidden="1" x14ac:dyDescent="0.25">
      <c r="A13571" t="s">
        <v>718</v>
      </c>
      <c r="B13571" t="s">
        <v>42</v>
      </c>
      <c r="E13571" s="3">
        <f>HYPERLINK("https://sao.dolgi.msk.ru/account/1404218094/", 1404218094)</f>
        <v>1404218094</v>
      </c>
      <c r="F13571">
        <v>-2666.93</v>
      </c>
    </row>
    <row r="13572" spans="1:6" hidden="1" x14ac:dyDescent="0.25">
      <c r="A13572" t="s">
        <v>718</v>
      </c>
      <c r="B13572" t="s">
        <v>43</v>
      </c>
      <c r="E13572" s="3">
        <f>HYPERLINK("https://sao.dolgi.msk.ru/account/1404217796/", 1404217796)</f>
        <v>1404217796</v>
      </c>
      <c r="F13572">
        <v>-3438.81</v>
      </c>
    </row>
    <row r="13573" spans="1:6" hidden="1" x14ac:dyDescent="0.25">
      <c r="A13573" t="s">
        <v>718</v>
      </c>
      <c r="B13573" t="s">
        <v>44</v>
      </c>
      <c r="E13573" s="3">
        <f>HYPERLINK("https://sao.dolgi.msk.ru/account/1404216742/", 1404216742)</f>
        <v>1404216742</v>
      </c>
      <c r="F13573">
        <v>-1234.08</v>
      </c>
    </row>
    <row r="13574" spans="1:6" hidden="1" x14ac:dyDescent="0.25">
      <c r="A13574" t="s">
        <v>718</v>
      </c>
      <c r="B13574" t="s">
        <v>45</v>
      </c>
      <c r="E13574" s="3">
        <f>HYPERLINK("https://sao.dolgi.msk.ru/account/1404216507/", 1404216507)</f>
        <v>1404216507</v>
      </c>
      <c r="F13574">
        <v>-1677.81</v>
      </c>
    </row>
    <row r="13575" spans="1:6" hidden="1" x14ac:dyDescent="0.25">
      <c r="A13575" t="s">
        <v>718</v>
      </c>
      <c r="B13575" t="s">
        <v>46</v>
      </c>
      <c r="E13575" s="3">
        <f>HYPERLINK("https://sao.dolgi.msk.ru/account/1404217294/", 1404217294)</f>
        <v>1404217294</v>
      </c>
      <c r="F13575">
        <v>-2375.7399999999998</v>
      </c>
    </row>
    <row r="13576" spans="1:6" hidden="1" x14ac:dyDescent="0.25">
      <c r="A13576" t="s">
        <v>718</v>
      </c>
      <c r="B13576" t="s">
        <v>47</v>
      </c>
      <c r="E13576" s="3">
        <f>HYPERLINK("https://sao.dolgi.msk.ru/account/1404218158/", 1404218158)</f>
        <v>1404218158</v>
      </c>
      <c r="F13576">
        <v>-2671.55</v>
      </c>
    </row>
    <row r="13577" spans="1:6" hidden="1" x14ac:dyDescent="0.25">
      <c r="A13577" t="s">
        <v>718</v>
      </c>
      <c r="B13577" t="s">
        <v>48</v>
      </c>
      <c r="E13577" s="3">
        <f>HYPERLINK("https://sao.dolgi.msk.ru/account/1404216697/", 1404216697)</f>
        <v>1404216697</v>
      </c>
      <c r="F13577">
        <v>-2538.4699999999998</v>
      </c>
    </row>
    <row r="13578" spans="1:6" x14ac:dyDescent="0.25">
      <c r="A13578" t="s">
        <v>718</v>
      </c>
      <c r="B13578" t="s">
        <v>49</v>
      </c>
      <c r="C13578" s="5" t="str">
        <f>" кв. "&amp;B13578</f>
        <v xml:space="preserve"> кв. 45</v>
      </c>
      <c r="D13578" s="5" t="str">
        <f>CONCATENATE(A13578,C13578)</f>
        <v>Фестивальная ул., дом 41 к.2 кв. 45</v>
      </c>
      <c r="E13578" s="3">
        <f>HYPERLINK("https://sao.dolgi.msk.ru/account/1404218166/", 1404218166)</f>
        <v>1404218166</v>
      </c>
      <c r="F13578">
        <v>1692.21</v>
      </c>
    </row>
    <row r="13579" spans="1:6" hidden="1" x14ac:dyDescent="0.25">
      <c r="A13579" t="s">
        <v>718</v>
      </c>
      <c r="B13579" t="s">
        <v>50</v>
      </c>
      <c r="E13579" s="3">
        <f>HYPERLINK("https://sao.dolgi.msk.ru/account/1404216689/", 1404216689)</f>
        <v>1404216689</v>
      </c>
      <c r="F13579">
        <v>0</v>
      </c>
    </row>
    <row r="13580" spans="1:6" hidden="1" x14ac:dyDescent="0.25">
      <c r="A13580" t="s">
        <v>718</v>
      </c>
      <c r="B13580" t="s">
        <v>51</v>
      </c>
      <c r="E13580" s="3">
        <f>HYPERLINK("https://sao.dolgi.msk.ru/account/1404215942/", 1404215942)</f>
        <v>1404215942</v>
      </c>
      <c r="F13580">
        <v>-2384.9899999999998</v>
      </c>
    </row>
    <row r="13581" spans="1:6" hidden="1" x14ac:dyDescent="0.25">
      <c r="A13581" t="s">
        <v>718</v>
      </c>
      <c r="B13581" t="s">
        <v>52</v>
      </c>
      <c r="E13581" s="3">
        <f>HYPERLINK("https://sao.dolgi.msk.ru/account/1404218131/", 1404218131)</f>
        <v>1404218131</v>
      </c>
      <c r="F13581">
        <v>0</v>
      </c>
    </row>
    <row r="13582" spans="1:6" hidden="1" x14ac:dyDescent="0.25">
      <c r="A13582" t="s">
        <v>718</v>
      </c>
      <c r="B13582" t="s">
        <v>53</v>
      </c>
      <c r="E13582" s="3">
        <f>HYPERLINK("https://sao.dolgi.msk.ru/account/1404216232/", 1404216232)</f>
        <v>1404216232</v>
      </c>
      <c r="F13582">
        <v>-3448.06</v>
      </c>
    </row>
    <row r="13583" spans="1:6" hidden="1" x14ac:dyDescent="0.25">
      <c r="A13583" t="s">
        <v>718</v>
      </c>
      <c r="B13583" t="s">
        <v>54</v>
      </c>
      <c r="E13583" s="3">
        <f>HYPERLINK("https://sao.dolgi.msk.ru/account/1404216777/", 1404216777)</f>
        <v>1404216777</v>
      </c>
      <c r="F13583">
        <v>-2227.44</v>
      </c>
    </row>
    <row r="13584" spans="1:6" hidden="1" x14ac:dyDescent="0.25">
      <c r="A13584" t="s">
        <v>718</v>
      </c>
      <c r="B13584" t="s">
        <v>55</v>
      </c>
      <c r="E13584" s="3">
        <f>HYPERLINK("https://sao.dolgi.msk.ru/account/1404217462/", 1404217462)</f>
        <v>1404217462</v>
      </c>
      <c r="F13584">
        <v>0</v>
      </c>
    </row>
    <row r="13585" spans="1:6" hidden="1" x14ac:dyDescent="0.25">
      <c r="A13585" t="s">
        <v>718</v>
      </c>
      <c r="B13585" t="s">
        <v>56</v>
      </c>
      <c r="E13585" s="3">
        <f>HYPERLINK("https://sao.dolgi.msk.ru/account/1404216726/", 1404216726)</f>
        <v>1404216726</v>
      </c>
      <c r="F13585">
        <v>-2384.9899999999998</v>
      </c>
    </row>
    <row r="13586" spans="1:6" hidden="1" x14ac:dyDescent="0.25">
      <c r="A13586" t="s">
        <v>718</v>
      </c>
      <c r="B13586" t="s">
        <v>57</v>
      </c>
      <c r="E13586" s="3">
        <f>HYPERLINK("https://sao.dolgi.msk.ru/account/1404216638/", 1404216638)</f>
        <v>1404216638</v>
      </c>
      <c r="F13586">
        <v>-2671.55</v>
      </c>
    </row>
    <row r="13587" spans="1:6" hidden="1" x14ac:dyDescent="0.25">
      <c r="A13587" t="s">
        <v>718</v>
      </c>
      <c r="B13587" t="s">
        <v>58</v>
      </c>
      <c r="E13587" s="3">
        <f>HYPERLINK("https://sao.dolgi.msk.ru/account/1404217382/", 1404217382)</f>
        <v>1404217382</v>
      </c>
      <c r="F13587">
        <v>-1076.8</v>
      </c>
    </row>
    <row r="13588" spans="1:6" hidden="1" x14ac:dyDescent="0.25">
      <c r="A13588" t="s">
        <v>718</v>
      </c>
      <c r="B13588" t="s">
        <v>59</v>
      </c>
      <c r="E13588" s="3">
        <f>HYPERLINK("https://sao.dolgi.msk.ru/account/1404218334/", 1404218334)</f>
        <v>1404218334</v>
      </c>
      <c r="F13588">
        <v>-2449.69</v>
      </c>
    </row>
    <row r="13589" spans="1:6" hidden="1" x14ac:dyDescent="0.25">
      <c r="A13589" t="s">
        <v>718</v>
      </c>
      <c r="B13589" t="s">
        <v>60</v>
      </c>
      <c r="E13589" s="3">
        <f>HYPERLINK("https://sao.dolgi.msk.ru/account/1404217868/", 1404217868)</f>
        <v>1404217868</v>
      </c>
      <c r="F13589">
        <v>-1663.94</v>
      </c>
    </row>
    <row r="13590" spans="1:6" x14ac:dyDescent="0.25">
      <c r="A13590" t="s">
        <v>718</v>
      </c>
      <c r="B13590" t="s">
        <v>61</v>
      </c>
      <c r="C13590" s="5" t="str">
        <f>" кв. "&amp;B13590</f>
        <v xml:space="preserve"> кв. 57</v>
      </c>
      <c r="D13590" s="5" t="str">
        <f>CONCATENATE(A13590,C13590)</f>
        <v>Фестивальная ул., дом 41 к.2 кв. 57</v>
      </c>
      <c r="E13590" s="3">
        <f>HYPERLINK("https://sao.dolgi.msk.ru/account/1404217091/", 1404217091)</f>
        <v>1404217091</v>
      </c>
      <c r="F13590">
        <v>1625.78</v>
      </c>
    </row>
    <row r="13591" spans="1:6" hidden="1" x14ac:dyDescent="0.25">
      <c r="A13591" t="s">
        <v>718</v>
      </c>
      <c r="B13591" t="s">
        <v>62</v>
      </c>
      <c r="E13591" s="3">
        <f>HYPERLINK("https://sao.dolgi.msk.ru/account/1404216822/", 1404216822)</f>
        <v>1404216822</v>
      </c>
      <c r="F13591">
        <v>0</v>
      </c>
    </row>
    <row r="13592" spans="1:6" hidden="1" x14ac:dyDescent="0.25">
      <c r="A13592" t="s">
        <v>718</v>
      </c>
      <c r="B13592" t="s">
        <v>63</v>
      </c>
      <c r="E13592" s="3">
        <f>HYPERLINK("https://sao.dolgi.msk.ru/account/1404215707/", 1404215707)</f>
        <v>1404215707</v>
      </c>
      <c r="F13592">
        <v>-3401.85</v>
      </c>
    </row>
    <row r="13593" spans="1:6" hidden="1" x14ac:dyDescent="0.25">
      <c r="A13593" t="s">
        <v>718</v>
      </c>
      <c r="B13593" t="s">
        <v>64</v>
      </c>
      <c r="E13593" s="3">
        <f>HYPERLINK("https://sao.dolgi.msk.ru/account/1404218211/", 1404218211)</f>
        <v>1404218211</v>
      </c>
      <c r="F13593">
        <v>0</v>
      </c>
    </row>
    <row r="13594" spans="1:6" hidden="1" x14ac:dyDescent="0.25">
      <c r="A13594" t="s">
        <v>718</v>
      </c>
      <c r="B13594" t="s">
        <v>65</v>
      </c>
      <c r="E13594" s="3">
        <f>HYPERLINK("https://sao.dolgi.msk.ru/account/1404217593/", 1404217593)</f>
        <v>1404217593</v>
      </c>
      <c r="F13594">
        <v>0</v>
      </c>
    </row>
    <row r="13595" spans="1:6" hidden="1" x14ac:dyDescent="0.25">
      <c r="A13595" t="s">
        <v>718</v>
      </c>
      <c r="B13595" t="s">
        <v>66</v>
      </c>
      <c r="E13595" s="3">
        <f>HYPERLINK("https://sao.dolgi.msk.ru/account/1404215619/", 1404215619)</f>
        <v>1404215619</v>
      </c>
      <c r="F13595">
        <v>-2375.7399999999998</v>
      </c>
    </row>
    <row r="13596" spans="1:6" hidden="1" x14ac:dyDescent="0.25">
      <c r="A13596" t="s">
        <v>718</v>
      </c>
      <c r="B13596" t="s">
        <v>67</v>
      </c>
      <c r="E13596" s="3">
        <f>HYPERLINK("https://sao.dolgi.msk.ru/account/1404217673/", 1404217673)</f>
        <v>1404217673</v>
      </c>
      <c r="F13596">
        <v>0</v>
      </c>
    </row>
    <row r="13597" spans="1:6" hidden="1" x14ac:dyDescent="0.25">
      <c r="A13597" t="s">
        <v>718</v>
      </c>
      <c r="B13597" t="s">
        <v>68</v>
      </c>
      <c r="E13597" s="3">
        <f>HYPERLINK("https://sao.dolgi.msk.ru/account/1404216793/", 1404216793)</f>
        <v>1404216793</v>
      </c>
      <c r="F13597">
        <v>-3424.94</v>
      </c>
    </row>
    <row r="13598" spans="1:6" x14ac:dyDescent="0.25">
      <c r="A13598" t="s">
        <v>718</v>
      </c>
      <c r="B13598" t="s">
        <v>69</v>
      </c>
      <c r="C13598" s="5" t="str">
        <f>" кв. "&amp;B13598</f>
        <v xml:space="preserve"> кв. 65</v>
      </c>
      <c r="D13598" s="5" t="str">
        <f>CONCATENATE(A13598,C13598)</f>
        <v>Фестивальная ул., дом 41 к.2 кв. 65</v>
      </c>
      <c r="E13598" s="3">
        <f>HYPERLINK("https://sao.dolgi.msk.ru/account/1404218123/", 1404218123)</f>
        <v>1404218123</v>
      </c>
      <c r="F13598">
        <v>1689.04</v>
      </c>
    </row>
    <row r="13599" spans="1:6" hidden="1" x14ac:dyDescent="0.25">
      <c r="A13599" t="s">
        <v>718</v>
      </c>
      <c r="B13599" t="s">
        <v>70</v>
      </c>
      <c r="E13599" s="3">
        <f>HYPERLINK("https://sao.dolgi.msk.ru/account/1404217825/", 1404217825)</f>
        <v>1404217825</v>
      </c>
      <c r="F13599">
        <v>-669.79</v>
      </c>
    </row>
    <row r="13600" spans="1:6" hidden="1" x14ac:dyDescent="0.25">
      <c r="A13600" t="s">
        <v>718</v>
      </c>
      <c r="B13600" t="s">
        <v>71</v>
      </c>
      <c r="E13600" s="3">
        <f>HYPERLINK("https://sao.dolgi.msk.ru/account/1404218246/", 1404218246)</f>
        <v>1404218246</v>
      </c>
      <c r="F13600">
        <v>-2371.12</v>
      </c>
    </row>
    <row r="13601" spans="1:6" hidden="1" x14ac:dyDescent="0.25">
      <c r="A13601" t="s">
        <v>718</v>
      </c>
      <c r="B13601" t="s">
        <v>72</v>
      </c>
      <c r="E13601" s="3">
        <f>HYPERLINK("https://sao.dolgi.msk.ru/account/1404216101/", 1404216101)</f>
        <v>1404216101</v>
      </c>
      <c r="F13601">
        <v>0</v>
      </c>
    </row>
    <row r="13602" spans="1:6" hidden="1" x14ac:dyDescent="0.25">
      <c r="A13602" t="s">
        <v>718</v>
      </c>
      <c r="B13602" t="s">
        <v>73</v>
      </c>
      <c r="E13602" s="3">
        <f>HYPERLINK("https://sao.dolgi.msk.ru/account/1404217606/", 1404217606)</f>
        <v>1404217606</v>
      </c>
      <c r="F13602">
        <v>0</v>
      </c>
    </row>
    <row r="13603" spans="1:6" x14ac:dyDescent="0.25">
      <c r="A13603" t="s">
        <v>718</v>
      </c>
      <c r="B13603" t="s">
        <v>74</v>
      </c>
      <c r="C13603" s="5" t="str">
        <f>" кв. "&amp;B13603</f>
        <v xml:space="preserve"> кв. 70</v>
      </c>
      <c r="D13603" s="5" t="str">
        <f>CONCATENATE(A13603,C13603)</f>
        <v>Фестивальная ул., дом 41 к.2 кв. 70</v>
      </c>
      <c r="E13603" s="3">
        <f>HYPERLINK("https://sao.dolgi.msk.ru/account/1404217999/", 1404217999)</f>
        <v>1404217999</v>
      </c>
      <c r="F13603">
        <v>1698.53</v>
      </c>
    </row>
    <row r="13604" spans="1:6" hidden="1" x14ac:dyDescent="0.25">
      <c r="A13604" t="s">
        <v>718</v>
      </c>
      <c r="B13604" t="s">
        <v>75</v>
      </c>
      <c r="E13604" s="3">
        <f>HYPERLINK("https://sao.dolgi.msk.ru/account/1404217737/", 1404217737)</f>
        <v>1404217737</v>
      </c>
      <c r="F13604">
        <v>-2208.96</v>
      </c>
    </row>
    <row r="13605" spans="1:6" hidden="1" x14ac:dyDescent="0.25">
      <c r="A13605" t="s">
        <v>718</v>
      </c>
      <c r="B13605" t="s">
        <v>76</v>
      </c>
      <c r="E13605" s="3">
        <f>HYPERLINK("https://sao.dolgi.msk.ru/account/1404216574/", 1404216574)</f>
        <v>1404216574</v>
      </c>
      <c r="F13605">
        <v>-1608.48</v>
      </c>
    </row>
    <row r="13606" spans="1:6" hidden="1" x14ac:dyDescent="0.25">
      <c r="A13606" t="s">
        <v>718</v>
      </c>
      <c r="B13606" t="s">
        <v>77</v>
      </c>
      <c r="E13606" s="3">
        <f>HYPERLINK("https://sao.dolgi.msk.ru/account/1404217956/", 1404217956)</f>
        <v>1404217956</v>
      </c>
      <c r="F13606">
        <v>0</v>
      </c>
    </row>
    <row r="13607" spans="1:6" hidden="1" x14ac:dyDescent="0.25">
      <c r="A13607" t="s">
        <v>718</v>
      </c>
      <c r="B13607" t="s">
        <v>78</v>
      </c>
      <c r="E13607" s="3">
        <f>HYPERLINK("https://sao.dolgi.msk.ru/account/1404216515/", 1404216515)</f>
        <v>1404216515</v>
      </c>
      <c r="F13607">
        <v>-3415.72</v>
      </c>
    </row>
    <row r="13608" spans="1:6" hidden="1" x14ac:dyDescent="0.25">
      <c r="A13608" t="s">
        <v>718</v>
      </c>
      <c r="B13608" t="s">
        <v>79</v>
      </c>
      <c r="E13608" s="3">
        <f>HYPERLINK("https://sao.dolgi.msk.ru/account/1404217817/", 1404217817)</f>
        <v>1404217817</v>
      </c>
      <c r="F13608">
        <v>-4224.5600000000004</v>
      </c>
    </row>
    <row r="13609" spans="1:6" x14ac:dyDescent="0.25">
      <c r="A13609" t="s">
        <v>718</v>
      </c>
      <c r="B13609" t="s">
        <v>80</v>
      </c>
      <c r="C13609" s="5" t="str">
        <f t="shared" ref="C13609:C13610" si="546">" кв. "&amp;B13609</f>
        <v xml:space="preserve"> кв. 76</v>
      </c>
      <c r="D13609" s="5" t="str">
        <f>CONCATENATE(A13609,C13609)</f>
        <v>Фестивальная ул., дом 41 к.2 кв. 76</v>
      </c>
      <c r="E13609" s="3">
        <f>HYPERLINK("https://sao.dolgi.msk.ru/account/1404216566/", 1404216566)</f>
        <v>1404216566</v>
      </c>
      <c r="F13609">
        <v>1619.46</v>
      </c>
    </row>
    <row r="13610" spans="1:6" x14ac:dyDescent="0.25">
      <c r="A13610" t="s">
        <v>718</v>
      </c>
      <c r="B13610" t="s">
        <v>81</v>
      </c>
      <c r="C13610" s="5" t="str">
        <f t="shared" si="546"/>
        <v xml:space="preserve"> кв. 77</v>
      </c>
      <c r="D13610" s="5" t="str">
        <f>CONCATENATE(A13610,C13610)</f>
        <v>Фестивальная ул., дом 41 к.2 кв. 77</v>
      </c>
      <c r="E13610" s="3">
        <f>HYPERLINK("https://sao.dolgi.msk.ru/account/1404216128/", 1404216128)</f>
        <v>1404216128</v>
      </c>
      <c r="F13610">
        <v>1796.58</v>
      </c>
    </row>
    <row r="13611" spans="1:6" hidden="1" x14ac:dyDescent="0.25">
      <c r="A13611" t="s">
        <v>718</v>
      </c>
      <c r="B13611" t="s">
        <v>82</v>
      </c>
      <c r="E13611" s="3">
        <f>HYPERLINK("https://sao.dolgi.msk.ru/account/1404215811/", 1404215811)</f>
        <v>1404215811</v>
      </c>
      <c r="F13611">
        <v>0</v>
      </c>
    </row>
    <row r="13612" spans="1:6" hidden="1" x14ac:dyDescent="0.25">
      <c r="A13612" t="s">
        <v>718</v>
      </c>
      <c r="B13612" t="s">
        <v>83</v>
      </c>
      <c r="E13612" s="3">
        <f>HYPERLINK("https://sao.dolgi.msk.ru/account/1404218289/", 1404218289)</f>
        <v>1404218289</v>
      </c>
      <c r="F13612">
        <v>0</v>
      </c>
    </row>
    <row r="13613" spans="1:6" x14ac:dyDescent="0.25">
      <c r="A13613" t="s">
        <v>718</v>
      </c>
      <c r="B13613" t="s">
        <v>84</v>
      </c>
      <c r="C13613" s="5" t="str">
        <f>" кв. "&amp;B13613</f>
        <v xml:space="preserve"> кв. 80</v>
      </c>
      <c r="D13613" s="5" t="str">
        <f>CONCATENATE(A13613,C13613)</f>
        <v>Фестивальная ул., дом 41 к.2 кв. 80</v>
      </c>
      <c r="E13613" s="3">
        <f>HYPERLINK("https://sao.dolgi.msk.ru/account/1404218182/", 1404218182)</f>
        <v>1404218182</v>
      </c>
      <c r="F13613">
        <v>1622.62</v>
      </c>
    </row>
    <row r="13614" spans="1:6" hidden="1" x14ac:dyDescent="0.25">
      <c r="A13614" t="s">
        <v>718</v>
      </c>
      <c r="B13614" t="s">
        <v>85</v>
      </c>
      <c r="E13614" s="3">
        <f>HYPERLINK("https://sao.dolgi.msk.ru/account/1404217585/", 1404217585)</f>
        <v>1404217585</v>
      </c>
      <c r="F13614">
        <v>-2648.44</v>
      </c>
    </row>
    <row r="13615" spans="1:6" hidden="1" x14ac:dyDescent="0.25">
      <c r="A13615" t="s">
        <v>718</v>
      </c>
      <c r="B13615" t="s">
        <v>86</v>
      </c>
      <c r="E13615" s="3">
        <f>HYPERLINK("https://sao.dolgi.msk.ru/account/1404217614/", 1404217614)</f>
        <v>1404217614</v>
      </c>
      <c r="F13615">
        <v>-3434.19</v>
      </c>
    </row>
    <row r="13616" spans="1:6" hidden="1" x14ac:dyDescent="0.25">
      <c r="A13616" t="s">
        <v>718</v>
      </c>
      <c r="B13616" t="s">
        <v>87</v>
      </c>
      <c r="E13616" s="3">
        <f>HYPERLINK("https://sao.dolgi.msk.ru/account/1404215635/", 1404215635)</f>
        <v>1404215635</v>
      </c>
      <c r="F13616">
        <v>0</v>
      </c>
    </row>
    <row r="13617" spans="1:6" hidden="1" x14ac:dyDescent="0.25">
      <c r="A13617" t="s">
        <v>718</v>
      </c>
      <c r="B13617" t="s">
        <v>88</v>
      </c>
      <c r="E13617" s="3">
        <f>HYPERLINK("https://sao.dolgi.msk.ru/account/1404216945/", 1404216945)</f>
        <v>1404216945</v>
      </c>
      <c r="F13617">
        <v>0</v>
      </c>
    </row>
    <row r="13618" spans="1:6" hidden="1" x14ac:dyDescent="0.25">
      <c r="A13618" t="s">
        <v>718</v>
      </c>
      <c r="B13618" t="s">
        <v>89</v>
      </c>
      <c r="E13618" s="3">
        <f>HYPERLINK("https://sao.dolgi.msk.ru/account/1404216005/", 1404216005)</f>
        <v>1404216005</v>
      </c>
      <c r="F13618">
        <v>-2662.31</v>
      </c>
    </row>
    <row r="13619" spans="1:6" hidden="1" x14ac:dyDescent="0.25">
      <c r="A13619" t="s">
        <v>718</v>
      </c>
      <c r="B13619" t="s">
        <v>90</v>
      </c>
      <c r="E13619" s="3">
        <f>HYPERLINK("https://sao.dolgi.msk.ru/account/1404215555/", 1404215555)</f>
        <v>1404215555</v>
      </c>
      <c r="F13619">
        <v>-1895.05</v>
      </c>
    </row>
    <row r="13620" spans="1:6" hidden="1" x14ac:dyDescent="0.25">
      <c r="A13620" t="s">
        <v>718</v>
      </c>
      <c r="B13620" t="s">
        <v>91</v>
      </c>
      <c r="E13620" s="3">
        <f>HYPERLINK("https://sao.dolgi.msk.ru/account/1404216494/", 1404216494)</f>
        <v>1404216494</v>
      </c>
      <c r="F13620">
        <v>-4224.5600000000004</v>
      </c>
    </row>
    <row r="13621" spans="1:6" hidden="1" x14ac:dyDescent="0.25">
      <c r="A13621" t="s">
        <v>718</v>
      </c>
      <c r="B13621" t="s">
        <v>92</v>
      </c>
      <c r="E13621" s="3">
        <f>HYPERLINK("https://sao.dolgi.msk.ru/account/1404217542/", 1404217542)</f>
        <v>1404217542</v>
      </c>
      <c r="F13621">
        <v>-2004.65</v>
      </c>
    </row>
    <row r="13622" spans="1:6" hidden="1" x14ac:dyDescent="0.25">
      <c r="A13622" t="s">
        <v>718</v>
      </c>
      <c r="B13622" t="s">
        <v>93</v>
      </c>
      <c r="E13622" s="3">
        <f>HYPERLINK("https://sao.dolgi.msk.ru/account/1404215758/", 1404215758)</f>
        <v>1404215758</v>
      </c>
      <c r="F13622">
        <v>0</v>
      </c>
    </row>
    <row r="13623" spans="1:6" x14ac:dyDescent="0.25">
      <c r="A13623" t="s">
        <v>718</v>
      </c>
      <c r="B13623" t="s">
        <v>94</v>
      </c>
      <c r="C13623" s="5" t="str">
        <f t="shared" ref="C13623:C13624" si="547">" кв. "&amp;B13623</f>
        <v xml:space="preserve"> кв. 90</v>
      </c>
      <c r="D13623" s="5" t="str">
        <f>CONCATENATE(A13623,C13623)</f>
        <v>Фестивальная ул., дом 41 к.2 кв. 90</v>
      </c>
      <c r="E13623" s="3">
        <f>HYPERLINK("https://sao.dolgi.msk.ru/account/1404218465/", 1404218465)</f>
        <v>1404218465</v>
      </c>
      <c r="F13623">
        <v>2350.11</v>
      </c>
    </row>
    <row r="13624" spans="1:6" x14ac:dyDescent="0.25">
      <c r="A13624" t="s">
        <v>718</v>
      </c>
      <c r="B13624" t="s">
        <v>95</v>
      </c>
      <c r="C13624" s="5" t="str">
        <f t="shared" si="547"/>
        <v xml:space="preserve"> кв. 91</v>
      </c>
      <c r="D13624" s="5" t="str">
        <f>CONCATENATE(A13624,C13624)</f>
        <v>Фестивальная ул., дом 41 к.2 кв. 91</v>
      </c>
      <c r="E13624" s="3">
        <f>HYPERLINK("https://sao.dolgi.msk.ru/account/1404217892/", 1404217892)</f>
        <v>1404217892</v>
      </c>
      <c r="F13624">
        <v>2894.15</v>
      </c>
    </row>
    <row r="13625" spans="1:6" hidden="1" x14ac:dyDescent="0.25">
      <c r="A13625" t="s">
        <v>718</v>
      </c>
      <c r="B13625" t="s">
        <v>96</v>
      </c>
      <c r="E13625" s="3">
        <f>HYPERLINK("https://sao.dolgi.msk.ru/account/1404216152/", 1404216152)</f>
        <v>1404216152</v>
      </c>
      <c r="F13625">
        <v>0</v>
      </c>
    </row>
    <row r="13626" spans="1:6" x14ac:dyDescent="0.25">
      <c r="A13626" t="s">
        <v>718</v>
      </c>
      <c r="B13626" t="s">
        <v>97</v>
      </c>
      <c r="C13626" s="5" t="str">
        <f>" кв. "&amp;B13626</f>
        <v xml:space="preserve"> кв. 93</v>
      </c>
      <c r="D13626" s="5" t="str">
        <f>CONCATENATE(A13626,C13626)</f>
        <v>Фестивальная ул., дом 41 к.2 кв. 93</v>
      </c>
      <c r="E13626" s="3">
        <f>HYPERLINK("https://sao.dolgi.msk.ru/account/1404217198/", 1404217198)</f>
        <v>1404217198</v>
      </c>
      <c r="F13626">
        <v>1806.07</v>
      </c>
    </row>
    <row r="13627" spans="1:6" hidden="1" x14ac:dyDescent="0.25">
      <c r="A13627" t="s">
        <v>718</v>
      </c>
      <c r="B13627" t="s">
        <v>98</v>
      </c>
      <c r="E13627" s="3">
        <f>HYPERLINK("https://sao.dolgi.msk.ru/account/1404217833/", 1404217833)</f>
        <v>1404217833</v>
      </c>
      <c r="F13627">
        <v>-2377.7399999999998</v>
      </c>
    </row>
    <row r="13628" spans="1:6" hidden="1" x14ac:dyDescent="0.25">
      <c r="A13628" t="s">
        <v>718</v>
      </c>
      <c r="B13628" t="s">
        <v>99</v>
      </c>
      <c r="E13628" s="3">
        <f>HYPERLINK("https://sao.dolgi.msk.ru/account/1404217921/", 1404217921)</f>
        <v>1404217921</v>
      </c>
      <c r="F13628">
        <v>-1564.79</v>
      </c>
    </row>
    <row r="13629" spans="1:6" hidden="1" x14ac:dyDescent="0.25">
      <c r="A13629" t="s">
        <v>718</v>
      </c>
      <c r="B13629" t="s">
        <v>100</v>
      </c>
      <c r="E13629" s="3">
        <f>HYPERLINK("https://sao.dolgi.msk.ru/account/1404218414/", 1404218414)</f>
        <v>1404218414</v>
      </c>
      <c r="F13629">
        <v>-1739.96</v>
      </c>
    </row>
    <row r="13630" spans="1:6" hidden="1" x14ac:dyDescent="0.25">
      <c r="A13630" t="s">
        <v>718</v>
      </c>
      <c r="B13630" t="s">
        <v>101</v>
      </c>
      <c r="E13630" s="3">
        <f>HYPERLINK("https://sao.dolgi.msk.ru/account/1404217446/", 1404217446)</f>
        <v>1404217446</v>
      </c>
      <c r="F13630">
        <v>-1564.79</v>
      </c>
    </row>
    <row r="13631" spans="1:6" hidden="1" x14ac:dyDescent="0.25">
      <c r="A13631" t="s">
        <v>718</v>
      </c>
      <c r="B13631" t="s">
        <v>102</v>
      </c>
      <c r="E13631" s="3">
        <f>HYPERLINK("https://sao.dolgi.msk.ru/account/1404216769/", 1404216769)</f>
        <v>1404216769</v>
      </c>
      <c r="F13631">
        <v>-1719.42</v>
      </c>
    </row>
    <row r="13632" spans="1:6" hidden="1" x14ac:dyDescent="0.25">
      <c r="A13632" t="s">
        <v>718</v>
      </c>
      <c r="B13632" t="s">
        <v>103</v>
      </c>
      <c r="E13632" s="3">
        <f>HYPERLINK("https://sao.dolgi.msk.ru/account/1404215774/", 1404215774)</f>
        <v>1404215774</v>
      </c>
      <c r="F13632">
        <v>0</v>
      </c>
    </row>
    <row r="13633" spans="1:6" hidden="1" x14ac:dyDescent="0.25">
      <c r="A13633" t="s">
        <v>718</v>
      </c>
      <c r="B13633" t="s">
        <v>104</v>
      </c>
      <c r="E13633" s="3">
        <f>HYPERLINK("https://sao.dolgi.msk.ru/account/1404217729/", 1404217729)</f>
        <v>1404217729</v>
      </c>
      <c r="F13633">
        <v>-2405.5700000000002</v>
      </c>
    </row>
    <row r="13634" spans="1:6" hidden="1" x14ac:dyDescent="0.25">
      <c r="A13634" t="s">
        <v>718</v>
      </c>
      <c r="B13634" t="s">
        <v>105</v>
      </c>
      <c r="E13634" s="3">
        <f>HYPERLINK("https://sao.dolgi.msk.ru/account/1404217526/", 1404217526)</f>
        <v>1404217526</v>
      </c>
      <c r="F13634">
        <v>-3549.74</v>
      </c>
    </row>
    <row r="13635" spans="1:6" hidden="1" x14ac:dyDescent="0.25">
      <c r="A13635" t="s">
        <v>718</v>
      </c>
      <c r="B13635" t="s">
        <v>106</v>
      </c>
      <c r="E13635" s="3">
        <f>HYPERLINK("https://sao.dolgi.msk.ru/account/1404217753/", 1404217753)</f>
        <v>1404217753</v>
      </c>
      <c r="F13635">
        <v>0</v>
      </c>
    </row>
    <row r="13636" spans="1:6" hidden="1" x14ac:dyDescent="0.25">
      <c r="A13636" t="s">
        <v>718</v>
      </c>
      <c r="B13636" t="s">
        <v>107</v>
      </c>
      <c r="E13636" s="3">
        <f>HYPERLINK("https://sao.dolgi.msk.ru/account/1404216259/", 1404216259)</f>
        <v>1404216259</v>
      </c>
      <c r="F13636">
        <v>0</v>
      </c>
    </row>
    <row r="13637" spans="1:6" hidden="1" x14ac:dyDescent="0.25">
      <c r="A13637" t="s">
        <v>718</v>
      </c>
      <c r="B13637" t="s">
        <v>108</v>
      </c>
      <c r="E13637" s="3">
        <f>HYPERLINK("https://sao.dolgi.msk.ru/account/1404217059/", 1404217059)</f>
        <v>1404217059</v>
      </c>
      <c r="F13637">
        <v>-1807.23</v>
      </c>
    </row>
    <row r="13638" spans="1:6" hidden="1" x14ac:dyDescent="0.25">
      <c r="A13638" t="s">
        <v>718</v>
      </c>
      <c r="B13638" t="s">
        <v>109</v>
      </c>
      <c r="E13638" s="3">
        <f>HYPERLINK("https://sao.dolgi.msk.ru/account/1404217577/", 1404217577)</f>
        <v>1404217577</v>
      </c>
      <c r="F13638">
        <v>0</v>
      </c>
    </row>
    <row r="13639" spans="1:6" hidden="1" x14ac:dyDescent="0.25">
      <c r="A13639" t="s">
        <v>718</v>
      </c>
      <c r="B13639" t="s">
        <v>110</v>
      </c>
      <c r="E13639" s="3">
        <f>HYPERLINK("https://sao.dolgi.msk.ru/account/1404215715/", 1404215715)</f>
        <v>1404215715</v>
      </c>
      <c r="F13639">
        <v>-3223.73</v>
      </c>
    </row>
    <row r="13640" spans="1:6" hidden="1" x14ac:dyDescent="0.25">
      <c r="A13640" t="s">
        <v>718</v>
      </c>
      <c r="B13640" t="s">
        <v>111</v>
      </c>
      <c r="E13640" s="3">
        <f>HYPERLINK("https://sao.dolgi.msk.ru/account/1404217067/", 1404217067)</f>
        <v>1404217067</v>
      </c>
      <c r="F13640">
        <v>-1877.52</v>
      </c>
    </row>
    <row r="13641" spans="1:6" hidden="1" x14ac:dyDescent="0.25">
      <c r="A13641" t="s">
        <v>718</v>
      </c>
      <c r="B13641" t="s">
        <v>112</v>
      </c>
      <c r="E13641" s="3">
        <f>HYPERLINK("https://sao.dolgi.msk.ru/account/1404218502/", 1404218502)</f>
        <v>1404218502</v>
      </c>
      <c r="F13641">
        <v>0</v>
      </c>
    </row>
    <row r="13642" spans="1:6" x14ac:dyDescent="0.25">
      <c r="A13642" t="s">
        <v>718</v>
      </c>
      <c r="B13642" t="s">
        <v>113</v>
      </c>
      <c r="C13642" s="5" t="str">
        <f>" кв. "&amp;B13642</f>
        <v xml:space="preserve"> кв. 109</v>
      </c>
      <c r="D13642" s="5" t="str">
        <f>CONCATENATE(A13642,C13642)</f>
        <v>Фестивальная ул., дом 41 к.2 кв. 109</v>
      </c>
      <c r="E13642" s="3">
        <f>HYPERLINK("https://sao.dolgi.msk.ru/account/1404217788/", 1404217788)</f>
        <v>1404217788</v>
      </c>
      <c r="F13642">
        <v>1258.8699999999999</v>
      </c>
    </row>
    <row r="13643" spans="1:6" hidden="1" x14ac:dyDescent="0.25">
      <c r="A13643" t="s">
        <v>718</v>
      </c>
      <c r="B13643" t="s">
        <v>114</v>
      </c>
      <c r="E13643" s="3">
        <f>HYPERLINK("https://sao.dolgi.msk.ru/account/1404218086/", 1404218086)</f>
        <v>1404218086</v>
      </c>
      <c r="F13643">
        <v>-1252.5899999999999</v>
      </c>
    </row>
    <row r="13644" spans="1:6" hidden="1" x14ac:dyDescent="0.25">
      <c r="A13644" t="s">
        <v>718</v>
      </c>
      <c r="B13644" t="s">
        <v>115</v>
      </c>
      <c r="E13644" s="3">
        <f>HYPERLINK("https://sao.dolgi.msk.ru/account/1404218481/", 1404218481)</f>
        <v>1404218481</v>
      </c>
      <c r="F13644">
        <v>-1660.35</v>
      </c>
    </row>
    <row r="13645" spans="1:6" hidden="1" x14ac:dyDescent="0.25">
      <c r="A13645" t="s">
        <v>718</v>
      </c>
      <c r="B13645" t="s">
        <v>116</v>
      </c>
      <c r="E13645" s="3">
        <f>HYPERLINK("https://sao.dolgi.msk.ru/account/1404217315/", 1404217315)</f>
        <v>1404217315</v>
      </c>
      <c r="F13645">
        <v>0</v>
      </c>
    </row>
    <row r="13646" spans="1:6" hidden="1" x14ac:dyDescent="0.25">
      <c r="A13646" t="s">
        <v>718</v>
      </c>
      <c r="B13646" t="s">
        <v>117</v>
      </c>
      <c r="E13646" s="3">
        <f>HYPERLINK("https://sao.dolgi.msk.ru/account/1404216849/", 1404216849)</f>
        <v>1404216849</v>
      </c>
      <c r="F13646">
        <v>-1788.74</v>
      </c>
    </row>
    <row r="13647" spans="1:6" hidden="1" x14ac:dyDescent="0.25">
      <c r="A13647" t="s">
        <v>718</v>
      </c>
      <c r="B13647" t="s">
        <v>118</v>
      </c>
      <c r="E13647" s="3">
        <f>HYPERLINK("https://sao.dolgi.msk.ru/account/1404218078/", 1404218078)</f>
        <v>1404218078</v>
      </c>
      <c r="F13647">
        <v>0</v>
      </c>
    </row>
    <row r="13648" spans="1:6" hidden="1" x14ac:dyDescent="0.25">
      <c r="A13648" t="s">
        <v>718</v>
      </c>
      <c r="B13648" t="s">
        <v>119</v>
      </c>
      <c r="E13648" s="3">
        <f>HYPERLINK("https://sao.dolgi.msk.ru/account/1404218342/", 1404218342)</f>
        <v>1404218342</v>
      </c>
      <c r="F13648">
        <v>-3572.86</v>
      </c>
    </row>
    <row r="13649" spans="1:6" x14ac:dyDescent="0.25">
      <c r="A13649" t="s">
        <v>718</v>
      </c>
      <c r="B13649" t="s">
        <v>120</v>
      </c>
      <c r="C13649" s="5" t="str">
        <f>" кв. "&amp;B13649</f>
        <v xml:space="preserve"> кв. 116</v>
      </c>
      <c r="D13649" s="5" t="str">
        <f>CONCATENATE(A13649,C13649)</f>
        <v>Фестивальная ул., дом 41 к.2 кв. 116</v>
      </c>
      <c r="E13649" s="3">
        <f>HYPERLINK("https://sao.dolgi.msk.ru/account/1404216486/", 1404216486)</f>
        <v>1404216486</v>
      </c>
      <c r="F13649">
        <v>1262.04</v>
      </c>
    </row>
    <row r="13650" spans="1:6" hidden="1" x14ac:dyDescent="0.25">
      <c r="A13650" t="s">
        <v>718</v>
      </c>
      <c r="B13650" t="s">
        <v>121</v>
      </c>
      <c r="E13650" s="3">
        <f>HYPERLINK("https://sao.dolgi.msk.ru/account/1404216304/", 1404216304)</f>
        <v>1404216304</v>
      </c>
      <c r="F13650">
        <v>-1701.05</v>
      </c>
    </row>
    <row r="13651" spans="1:6" hidden="1" x14ac:dyDescent="0.25">
      <c r="A13651" t="s">
        <v>718</v>
      </c>
      <c r="B13651" t="s">
        <v>122</v>
      </c>
      <c r="E13651" s="3">
        <f>HYPERLINK("https://sao.dolgi.msk.ru/account/1404218043/", 1404218043)</f>
        <v>1404218043</v>
      </c>
      <c r="F13651">
        <v>-1811.86</v>
      </c>
    </row>
    <row r="13652" spans="1:6" hidden="1" x14ac:dyDescent="0.25">
      <c r="A13652" t="s">
        <v>718</v>
      </c>
      <c r="B13652" t="s">
        <v>123</v>
      </c>
      <c r="E13652" s="3">
        <f>HYPERLINK("https://sao.dolgi.msk.ru/account/1404217884/", 1404217884)</f>
        <v>1404217884</v>
      </c>
      <c r="F13652">
        <v>-1682.43</v>
      </c>
    </row>
    <row r="13653" spans="1:6" hidden="1" x14ac:dyDescent="0.25">
      <c r="A13653" t="s">
        <v>718</v>
      </c>
      <c r="B13653" t="s">
        <v>124</v>
      </c>
      <c r="E13653" s="3">
        <f>HYPERLINK("https://sao.dolgi.msk.ru/account/1404215993/", 1404215993)</f>
        <v>1404215993</v>
      </c>
      <c r="F13653">
        <v>-1784.12</v>
      </c>
    </row>
    <row r="13654" spans="1:6" x14ac:dyDescent="0.25">
      <c r="A13654" t="s">
        <v>718</v>
      </c>
      <c r="B13654" t="s">
        <v>125</v>
      </c>
      <c r="C13654" s="5" t="str">
        <f t="shared" ref="C13654:C13655" si="548">" кв. "&amp;B13654</f>
        <v xml:space="preserve"> кв. 121</v>
      </c>
      <c r="D13654" s="5" t="str">
        <f>CONCATENATE(A13654,C13654)</f>
        <v>Фестивальная ул., дом 41 к.2 кв. 121</v>
      </c>
      <c r="E13654" s="3">
        <f>HYPERLINK("https://sao.dolgi.msk.ru/account/1404215926/", 1404215926)</f>
        <v>1404215926</v>
      </c>
      <c r="F13654">
        <v>1904.13</v>
      </c>
    </row>
    <row r="13655" spans="1:6" x14ac:dyDescent="0.25">
      <c r="A13655" t="s">
        <v>718</v>
      </c>
      <c r="B13655" t="s">
        <v>126</v>
      </c>
      <c r="C13655" s="5" t="str">
        <f t="shared" si="548"/>
        <v xml:space="preserve"> кв. 122</v>
      </c>
      <c r="D13655" s="5" t="str">
        <f>CONCATENATE(A13655,C13655)</f>
        <v>Фестивальная ул., дом 41 к.2 кв. 122</v>
      </c>
      <c r="E13655" s="3">
        <f>HYPERLINK("https://sao.dolgi.msk.ru/account/1404217075/", 1404217075)</f>
        <v>1404217075</v>
      </c>
      <c r="F13655">
        <v>2031.01</v>
      </c>
    </row>
    <row r="13656" spans="1:6" hidden="1" x14ac:dyDescent="0.25">
      <c r="A13656" t="s">
        <v>718</v>
      </c>
      <c r="B13656" t="s">
        <v>127</v>
      </c>
      <c r="E13656" s="3">
        <f>HYPERLINK("https://sao.dolgi.msk.ru/account/1404217155/", 1404217155)</f>
        <v>1404217155</v>
      </c>
      <c r="F13656">
        <v>-1830.35</v>
      </c>
    </row>
    <row r="13657" spans="1:6" hidden="1" x14ac:dyDescent="0.25">
      <c r="A13657" t="s">
        <v>718</v>
      </c>
      <c r="B13657" t="s">
        <v>128</v>
      </c>
      <c r="E13657" s="3">
        <f>HYPERLINK("https://sao.dolgi.msk.ru/account/1404216857/", 1404216857)</f>
        <v>1404216857</v>
      </c>
      <c r="F13657">
        <v>-2010.61</v>
      </c>
    </row>
    <row r="13658" spans="1:6" x14ac:dyDescent="0.25">
      <c r="A13658" t="s">
        <v>718</v>
      </c>
      <c r="B13658" t="s">
        <v>129</v>
      </c>
      <c r="C13658" s="5" t="str">
        <f>" кв. "&amp;B13658</f>
        <v xml:space="preserve"> кв. 125</v>
      </c>
      <c r="D13658" s="5" t="str">
        <f>CONCATENATE(A13658,C13658)</f>
        <v>Фестивальная ул., дом 41 к.2 кв. 125</v>
      </c>
      <c r="E13658" s="3">
        <f>HYPERLINK("https://sao.dolgi.msk.ru/account/1404216291/", 1404216291)</f>
        <v>1404216291</v>
      </c>
      <c r="F13658">
        <v>702.18</v>
      </c>
    </row>
    <row r="13659" spans="1:6" hidden="1" x14ac:dyDescent="0.25">
      <c r="A13659" t="s">
        <v>718</v>
      </c>
      <c r="B13659" t="s">
        <v>130</v>
      </c>
      <c r="E13659" s="3">
        <f>HYPERLINK("https://sao.dolgi.msk.ru/account/1404216398/", 1404216398)</f>
        <v>1404216398</v>
      </c>
      <c r="F13659">
        <v>-1668.56</v>
      </c>
    </row>
    <row r="13660" spans="1:6" x14ac:dyDescent="0.25">
      <c r="A13660" t="s">
        <v>718</v>
      </c>
      <c r="B13660" t="s">
        <v>131</v>
      </c>
      <c r="C13660" s="5" t="str">
        <f>" кв. "&amp;B13660</f>
        <v xml:space="preserve"> кв. 127</v>
      </c>
      <c r="D13660" s="5" t="str">
        <f>CONCATENATE(A13660,C13660)</f>
        <v>Фестивальная ул., дом 41 к.2 кв. 127</v>
      </c>
      <c r="E13660" s="3">
        <f>HYPERLINK("https://sao.dolgi.msk.ru/account/1404216427/", 1404216427)</f>
        <v>1404216427</v>
      </c>
      <c r="F13660">
        <v>1214.5899999999999</v>
      </c>
    </row>
    <row r="13661" spans="1:6" hidden="1" x14ac:dyDescent="0.25">
      <c r="A13661" t="s">
        <v>718</v>
      </c>
      <c r="B13661" t="s">
        <v>132</v>
      </c>
      <c r="E13661" s="3">
        <f>HYPERLINK("https://sao.dolgi.msk.ru/account/1404216048/", 1404216048)</f>
        <v>1404216048</v>
      </c>
      <c r="F13661">
        <v>-2773.24</v>
      </c>
    </row>
    <row r="13662" spans="1:6" x14ac:dyDescent="0.25">
      <c r="A13662" t="s">
        <v>718</v>
      </c>
      <c r="B13662" t="s">
        <v>133</v>
      </c>
      <c r="C13662" s="5" t="str">
        <f>" кв. "&amp;B13662</f>
        <v xml:space="preserve"> кв. 129</v>
      </c>
      <c r="D13662" s="5" t="str">
        <f>CONCATENATE(A13662,C13662)</f>
        <v>Фестивальная ул., дом 41 к.2 кв. 129</v>
      </c>
      <c r="E13662" s="3">
        <f>HYPERLINK("https://sao.dolgi.msk.ru/account/1404215694/", 1404215694)</f>
        <v>1404215694</v>
      </c>
      <c r="F13662">
        <v>2432.35</v>
      </c>
    </row>
    <row r="13663" spans="1:6" hidden="1" x14ac:dyDescent="0.25">
      <c r="A13663" t="s">
        <v>718</v>
      </c>
      <c r="B13663" t="s">
        <v>134</v>
      </c>
      <c r="E13663" s="3">
        <f>HYPERLINK("https://sao.dolgi.msk.ru/account/1404216099/", 1404216099)</f>
        <v>1404216099</v>
      </c>
      <c r="F13663">
        <v>-1844.2</v>
      </c>
    </row>
    <row r="13664" spans="1:6" hidden="1" x14ac:dyDescent="0.25">
      <c r="A13664" t="s">
        <v>718</v>
      </c>
      <c r="B13664" t="s">
        <v>135</v>
      </c>
      <c r="E13664" s="3">
        <f>HYPERLINK("https://sao.dolgi.msk.ru/account/1404218406/", 1404218406)</f>
        <v>1404218406</v>
      </c>
      <c r="F13664">
        <v>-2005.98</v>
      </c>
    </row>
    <row r="13665" spans="1:6" x14ac:dyDescent="0.25">
      <c r="A13665" t="s">
        <v>718</v>
      </c>
      <c r="B13665" t="s">
        <v>136</v>
      </c>
      <c r="C13665" s="5" t="str">
        <f t="shared" ref="C13665:C13666" si="549">" кв. "&amp;B13665</f>
        <v xml:space="preserve"> кв. 132</v>
      </c>
      <c r="D13665" s="5" t="str">
        <f>CONCATENATE(A13665,C13665)</f>
        <v>Фестивальная ул., дом 41 к.2 кв. 132</v>
      </c>
      <c r="E13665" s="3">
        <f>HYPERLINK("https://sao.dolgi.msk.ru/account/1404217331/", 1404217331)</f>
        <v>1404217331</v>
      </c>
      <c r="F13665">
        <v>918.06</v>
      </c>
    </row>
    <row r="13666" spans="1:6" x14ac:dyDescent="0.25">
      <c r="A13666" t="s">
        <v>718</v>
      </c>
      <c r="B13666" t="s">
        <v>136</v>
      </c>
      <c r="C13666" s="5" t="str">
        <f t="shared" si="549"/>
        <v xml:space="preserve"> кв. 132</v>
      </c>
      <c r="D13666" s="5" t="str">
        <f>CONCATENATE(A13666,C13666)</f>
        <v>Фестивальная ул., дом 41 к.2 кв. 132</v>
      </c>
      <c r="E13666" s="3">
        <f>HYPERLINK("https://sao.dolgi.msk.ru/account/1404218473/", 1404218473)</f>
        <v>1404218473</v>
      </c>
      <c r="F13666">
        <v>306.02</v>
      </c>
    </row>
    <row r="13667" spans="1:6" hidden="1" x14ac:dyDescent="0.25">
      <c r="A13667" t="s">
        <v>718</v>
      </c>
      <c r="B13667" t="s">
        <v>137</v>
      </c>
      <c r="E13667" s="3">
        <f>HYPERLINK("https://sao.dolgi.msk.ru/account/1404215782/", 1404215782)</f>
        <v>1404215782</v>
      </c>
      <c r="F13667">
        <v>0</v>
      </c>
    </row>
    <row r="13668" spans="1:6" x14ac:dyDescent="0.25">
      <c r="A13668" t="s">
        <v>718</v>
      </c>
      <c r="B13668" t="s">
        <v>138</v>
      </c>
      <c r="C13668" s="5" t="str">
        <f>" кв. "&amp;B13668</f>
        <v xml:space="preserve"> кв. 134</v>
      </c>
      <c r="D13668" s="5" t="str">
        <f>CONCATENATE(A13668,C13668)</f>
        <v>Фестивальная ул., дом 41 к.2 кв. 134</v>
      </c>
      <c r="E13668" s="3">
        <f>HYPERLINK("https://sao.dolgi.msk.ru/account/1404216224/", 1404216224)</f>
        <v>1404216224</v>
      </c>
      <c r="F13668">
        <v>1214.5899999999999</v>
      </c>
    </row>
    <row r="13669" spans="1:6" hidden="1" x14ac:dyDescent="0.25">
      <c r="A13669" t="s">
        <v>718</v>
      </c>
      <c r="B13669" t="s">
        <v>139</v>
      </c>
      <c r="E13669" s="3">
        <f>HYPERLINK("https://sao.dolgi.msk.ru/account/1404217454/", 1404217454)</f>
        <v>1404217454</v>
      </c>
      <c r="F13669">
        <v>0</v>
      </c>
    </row>
    <row r="13670" spans="1:6" hidden="1" x14ac:dyDescent="0.25">
      <c r="A13670" t="s">
        <v>718</v>
      </c>
      <c r="B13670" t="s">
        <v>140</v>
      </c>
      <c r="E13670" s="3">
        <f>HYPERLINK("https://sao.dolgi.msk.ru/account/1404215678/", 1404215678)</f>
        <v>1404215678</v>
      </c>
      <c r="F13670">
        <v>-3008.94</v>
      </c>
    </row>
    <row r="13671" spans="1:6" hidden="1" x14ac:dyDescent="0.25">
      <c r="A13671" t="s">
        <v>718</v>
      </c>
      <c r="B13671" t="s">
        <v>141</v>
      </c>
      <c r="E13671" s="3">
        <f>HYPERLINK("https://sao.dolgi.msk.ru/account/1404217235/", 1404217235)</f>
        <v>1404217235</v>
      </c>
      <c r="F13671">
        <v>-3775.11</v>
      </c>
    </row>
    <row r="13672" spans="1:6" hidden="1" x14ac:dyDescent="0.25">
      <c r="A13672" t="s">
        <v>718</v>
      </c>
      <c r="B13672" t="s">
        <v>142</v>
      </c>
      <c r="E13672" s="3">
        <f>HYPERLINK("https://sao.dolgi.msk.ru/account/1404216451/", 1404216451)</f>
        <v>1404216451</v>
      </c>
      <c r="F13672">
        <v>-2005.98</v>
      </c>
    </row>
    <row r="13673" spans="1:6" hidden="1" x14ac:dyDescent="0.25">
      <c r="A13673" t="s">
        <v>718</v>
      </c>
      <c r="B13673" t="s">
        <v>143</v>
      </c>
      <c r="E13673" s="3">
        <f>HYPERLINK("https://sao.dolgi.msk.ru/account/1404218027/", 1404218027)</f>
        <v>1404218027</v>
      </c>
      <c r="F13673">
        <v>-1802.61</v>
      </c>
    </row>
    <row r="13674" spans="1:6" hidden="1" x14ac:dyDescent="0.25">
      <c r="A13674" t="s">
        <v>718</v>
      </c>
      <c r="B13674" t="s">
        <v>144</v>
      </c>
      <c r="E13674" s="3">
        <f>HYPERLINK("https://sao.dolgi.msk.ru/account/1404215838/", 1404215838)</f>
        <v>1404215838</v>
      </c>
      <c r="F13674">
        <v>-1691.68</v>
      </c>
    </row>
    <row r="13675" spans="1:6" x14ac:dyDescent="0.25">
      <c r="A13675" t="s">
        <v>718</v>
      </c>
      <c r="B13675" t="s">
        <v>145</v>
      </c>
      <c r="C13675" s="5" t="str">
        <f>" кв. "&amp;B13675</f>
        <v xml:space="preserve"> кв. 141</v>
      </c>
      <c r="D13675" s="5" t="str">
        <f>CONCATENATE(A13675,C13675)</f>
        <v>Фестивальная ул., дом 41 к.2 кв. 141</v>
      </c>
      <c r="E13675" s="3">
        <f>HYPERLINK("https://sao.dolgi.msk.ru/account/1404216582/", 1404216582)</f>
        <v>1404216582</v>
      </c>
      <c r="F13675">
        <v>1217.76</v>
      </c>
    </row>
    <row r="13676" spans="1:6" hidden="1" x14ac:dyDescent="0.25">
      <c r="A13676" t="s">
        <v>718</v>
      </c>
      <c r="B13676" t="s">
        <v>146</v>
      </c>
      <c r="E13676" s="3">
        <f>HYPERLINK("https://sao.dolgi.msk.ru/account/1404216654/", 1404216654)</f>
        <v>1404216654</v>
      </c>
      <c r="F13676">
        <v>-1829.19</v>
      </c>
    </row>
    <row r="13677" spans="1:6" hidden="1" x14ac:dyDescent="0.25">
      <c r="A13677" t="s">
        <v>718</v>
      </c>
      <c r="B13677" t="s">
        <v>147</v>
      </c>
      <c r="E13677" s="3">
        <f>HYPERLINK("https://sao.dolgi.msk.ru/account/1404217948/", 1404217948)</f>
        <v>1404217948</v>
      </c>
      <c r="F13677">
        <v>-4890</v>
      </c>
    </row>
    <row r="13678" spans="1:6" hidden="1" x14ac:dyDescent="0.25">
      <c r="A13678" t="s">
        <v>718</v>
      </c>
      <c r="B13678" t="s">
        <v>148</v>
      </c>
      <c r="E13678" s="3">
        <f>HYPERLINK("https://sao.dolgi.msk.ru/account/1404217489/", 1404217489)</f>
        <v>1404217489</v>
      </c>
      <c r="F13678">
        <v>0</v>
      </c>
    </row>
    <row r="13679" spans="1:6" hidden="1" x14ac:dyDescent="0.25">
      <c r="A13679" t="s">
        <v>718</v>
      </c>
      <c r="B13679" t="s">
        <v>149</v>
      </c>
      <c r="E13679" s="3">
        <f>HYPERLINK("https://sao.dolgi.msk.ru/account/1404215731/", 1404215731)</f>
        <v>1404215731</v>
      </c>
      <c r="F13679">
        <v>0</v>
      </c>
    </row>
    <row r="13680" spans="1:6" x14ac:dyDescent="0.25">
      <c r="A13680" t="s">
        <v>718</v>
      </c>
      <c r="B13680" t="s">
        <v>150</v>
      </c>
      <c r="C13680" s="5" t="str">
        <f>" кв. "&amp;B13680</f>
        <v xml:space="preserve"> кв. 146</v>
      </c>
      <c r="D13680" s="5" t="str">
        <f>CONCATENATE(A13680,C13680)</f>
        <v>Фестивальная ул., дом 41 к.2 кв. 146</v>
      </c>
      <c r="E13680" s="3">
        <f>HYPERLINK("https://sao.dolgi.msk.ru/account/1404218035/", 1404218035)</f>
        <v>1404218035</v>
      </c>
      <c r="F13680">
        <v>1243.06</v>
      </c>
    </row>
    <row r="13681" spans="1:6" hidden="1" x14ac:dyDescent="0.25">
      <c r="A13681" t="s">
        <v>718</v>
      </c>
      <c r="B13681" t="s">
        <v>151</v>
      </c>
      <c r="E13681" s="3">
        <f>HYPERLINK("https://sao.dolgi.msk.ru/account/1404216136/", 1404216136)</f>
        <v>1404216136</v>
      </c>
      <c r="F13681">
        <v>-1677.81</v>
      </c>
    </row>
    <row r="13682" spans="1:6" hidden="1" x14ac:dyDescent="0.25">
      <c r="A13682" t="s">
        <v>718</v>
      </c>
      <c r="B13682" t="s">
        <v>152</v>
      </c>
      <c r="E13682" s="3">
        <f>HYPERLINK("https://sao.dolgi.msk.ru/account/1404215969/", 1404215969)</f>
        <v>1404215969</v>
      </c>
      <c r="F13682">
        <v>-1774.87</v>
      </c>
    </row>
    <row r="13683" spans="1:6" hidden="1" x14ac:dyDescent="0.25">
      <c r="A13683" t="s">
        <v>718</v>
      </c>
      <c r="B13683" t="s">
        <v>153</v>
      </c>
      <c r="E13683" s="3">
        <f>HYPERLINK("https://sao.dolgi.msk.ru/account/1404217518/", 1404217518)</f>
        <v>1404217518</v>
      </c>
      <c r="F13683">
        <v>-2791.73</v>
      </c>
    </row>
    <row r="13684" spans="1:6" hidden="1" x14ac:dyDescent="0.25">
      <c r="A13684" t="s">
        <v>718</v>
      </c>
      <c r="B13684" t="s">
        <v>154</v>
      </c>
      <c r="E13684" s="3">
        <f>HYPERLINK("https://sao.dolgi.msk.ru/account/1404217809/", 1404217809)</f>
        <v>1404217809</v>
      </c>
      <c r="F13684">
        <v>-2677.23</v>
      </c>
    </row>
    <row r="13685" spans="1:6" x14ac:dyDescent="0.25">
      <c r="A13685" t="s">
        <v>718</v>
      </c>
      <c r="B13685" t="s">
        <v>155</v>
      </c>
      <c r="C13685" s="5" t="str">
        <f>" кв. "&amp;B13685</f>
        <v xml:space="preserve"> кв. 151</v>
      </c>
      <c r="D13685" s="5" t="str">
        <f>CONCATENATE(A13685,C13685)</f>
        <v>Фестивальная ул., дом 41 к.2 кв. 151</v>
      </c>
      <c r="E13685" s="3">
        <f>HYPERLINK("https://sao.dolgi.msk.ru/account/1404216814/", 1404216814)</f>
        <v>1404216814</v>
      </c>
      <c r="F13685">
        <v>1255.71</v>
      </c>
    </row>
    <row r="13686" spans="1:6" hidden="1" x14ac:dyDescent="0.25">
      <c r="A13686" t="s">
        <v>718</v>
      </c>
      <c r="B13686" t="s">
        <v>156</v>
      </c>
      <c r="E13686" s="3">
        <f>HYPERLINK("https://sao.dolgi.msk.ru/account/1404218174/", 1404218174)</f>
        <v>1404218174</v>
      </c>
      <c r="F13686">
        <v>-2024.47</v>
      </c>
    </row>
    <row r="13687" spans="1:6" x14ac:dyDescent="0.25">
      <c r="A13687" t="s">
        <v>718</v>
      </c>
      <c r="B13687" t="s">
        <v>157</v>
      </c>
      <c r="C13687" s="5" t="str">
        <f>" кв. "&amp;B13687</f>
        <v xml:space="preserve"> кв. 153</v>
      </c>
      <c r="D13687" s="5" t="str">
        <f>CONCATENATE(A13687,C13687)</f>
        <v>Фестивальная ул., дом 41 к.2 кв. 153</v>
      </c>
      <c r="E13687" s="3">
        <f>HYPERLINK("https://sao.dolgi.msk.ru/account/1404218297/", 1404218297)</f>
        <v>1404218297</v>
      </c>
      <c r="F13687">
        <v>1230.4100000000001</v>
      </c>
    </row>
    <row r="13688" spans="1:6" hidden="1" x14ac:dyDescent="0.25">
      <c r="A13688" t="s">
        <v>718</v>
      </c>
      <c r="B13688" t="s">
        <v>158</v>
      </c>
      <c r="E13688" s="3">
        <f>HYPERLINK("https://sao.dolgi.msk.ru/account/1404216611/", 1404216611)</f>
        <v>1404216611</v>
      </c>
      <c r="F13688">
        <v>-1682.43</v>
      </c>
    </row>
    <row r="13689" spans="1:6" hidden="1" x14ac:dyDescent="0.25">
      <c r="A13689" t="s">
        <v>718</v>
      </c>
      <c r="B13689" t="s">
        <v>159</v>
      </c>
      <c r="E13689" s="3">
        <f>HYPERLINK("https://sao.dolgi.msk.ru/account/1404216988/", 1404216988)</f>
        <v>1404216988</v>
      </c>
      <c r="F13689">
        <v>-1793.36</v>
      </c>
    </row>
    <row r="13690" spans="1:6" hidden="1" x14ac:dyDescent="0.25">
      <c r="A13690" t="s">
        <v>718</v>
      </c>
      <c r="B13690" t="s">
        <v>160</v>
      </c>
      <c r="E13690" s="3">
        <f>HYPERLINK("https://sao.dolgi.msk.ru/account/1404218203/", 1404218203)</f>
        <v>1404218203</v>
      </c>
      <c r="F13690">
        <v>-2782.49</v>
      </c>
    </row>
    <row r="13691" spans="1:6" x14ac:dyDescent="0.25">
      <c r="A13691" t="s">
        <v>718</v>
      </c>
      <c r="B13691" t="s">
        <v>161</v>
      </c>
      <c r="C13691" s="5" t="str">
        <f>" кв. "&amp;B13691</f>
        <v xml:space="preserve"> кв. 157</v>
      </c>
      <c r="D13691" s="5" t="str">
        <f>CONCATENATE(A13691,C13691)</f>
        <v>Фестивальная ул., дом 41 к.2 кв. 157</v>
      </c>
      <c r="E13691" s="3">
        <f>HYPERLINK("https://sao.dolgi.msk.ru/account/1404218326/", 1404218326)</f>
        <v>1404218326</v>
      </c>
      <c r="F13691">
        <v>2441.84</v>
      </c>
    </row>
    <row r="13692" spans="1:6" hidden="1" x14ac:dyDescent="0.25">
      <c r="A13692" t="s">
        <v>718</v>
      </c>
      <c r="B13692" t="s">
        <v>162</v>
      </c>
      <c r="E13692" s="3">
        <f>HYPERLINK("https://sao.dolgi.msk.ru/account/1404217702/", 1404217702)</f>
        <v>1404217702</v>
      </c>
      <c r="F13692">
        <v>0</v>
      </c>
    </row>
    <row r="13693" spans="1:6" hidden="1" x14ac:dyDescent="0.25">
      <c r="A13693" t="s">
        <v>718</v>
      </c>
      <c r="B13693" t="s">
        <v>163</v>
      </c>
      <c r="E13693" s="3">
        <f>HYPERLINK("https://sao.dolgi.msk.ru/account/1404216312/", 1404216312)</f>
        <v>1404216312</v>
      </c>
      <c r="F13693">
        <v>-1171.3699999999999</v>
      </c>
    </row>
    <row r="13694" spans="1:6" hidden="1" x14ac:dyDescent="0.25">
      <c r="A13694" t="s">
        <v>718</v>
      </c>
      <c r="B13694" t="s">
        <v>164</v>
      </c>
      <c r="E13694" s="3">
        <f>HYPERLINK("https://sao.dolgi.msk.ru/account/1404218457/", 1404218457)</f>
        <v>1404218457</v>
      </c>
      <c r="F13694">
        <v>-1802.61</v>
      </c>
    </row>
    <row r="13695" spans="1:6" x14ac:dyDescent="0.25">
      <c r="A13695" t="s">
        <v>718</v>
      </c>
      <c r="B13695" t="s">
        <v>165</v>
      </c>
      <c r="C13695" s="5" t="str">
        <f>" кв. "&amp;B13695</f>
        <v xml:space="preserve"> кв. 161</v>
      </c>
      <c r="D13695" s="5" t="str">
        <f>CONCATENATE(A13695,C13695)</f>
        <v>Фестивальная ул., дом 41 к.2 кв. 161</v>
      </c>
      <c r="E13695" s="3">
        <f>HYPERLINK("https://sao.dolgi.msk.ru/account/1404217411/", 1404217411)</f>
        <v>1404217411</v>
      </c>
      <c r="F13695">
        <v>1145.01</v>
      </c>
    </row>
    <row r="13696" spans="1:6" hidden="1" x14ac:dyDescent="0.25">
      <c r="A13696" t="s">
        <v>718</v>
      </c>
      <c r="B13696" t="s">
        <v>166</v>
      </c>
      <c r="E13696" s="3">
        <f>HYPERLINK("https://sao.dolgi.msk.ru/account/1404218377/", 1404218377)</f>
        <v>1404218377</v>
      </c>
      <c r="F13696">
        <v>-1770.25</v>
      </c>
    </row>
    <row r="13697" spans="1:6" hidden="1" x14ac:dyDescent="0.25">
      <c r="A13697" t="s">
        <v>718</v>
      </c>
      <c r="B13697" t="s">
        <v>167</v>
      </c>
      <c r="E13697" s="3">
        <f>HYPERLINK("https://sao.dolgi.msk.ru/account/1404216873/", 1404216873)</f>
        <v>1404216873</v>
      </c>
      <c r="F13697">
        <v>-1882.14</v>
      </c>
    </row>
    <row r="13698" spans="1:6" hidden="1" x14ac:dyDescent="0.25">
      <c r="A13698" t="s">
        <v>718</v>
      </c>
      <c r="B13698" t="s">
        <v>168</v>
      </c>
      <c r="E13698" s="3">
        <f>HYPERLINK("https://sao.dolgi.msk.ru/account/1404217323/", 1404217323)</f>
        <v>1404217323</v>
      </c>
      <c r="F13698">
        <v>-6182.05</v>
      </c>
    </row>
    <row r="13699" spans="1:6" hidden="1" x14ac:dyDescent="0.25">
      <c r="A13699" t="s">
        <v>718</v>
      </c>
      <c r="B13699" t="s">
        <v>169</v>
      </c>
      <c r="E13699" s="3">
        <f>HYPERLINK("https://sao.dolgi.msk.ru/account/1404216996/", 1404216996)</f>
        <v>1404216996</v>
      </c>
      <c r="F13699">
        <v>-1821.1</v>
      </c>
    </row>
    <row r="13700" spans="1:6" hidden="1" x14ac:dyDescent="0.25">
      <c r="A13700" t="s">
        <v>718</v>
      </c>
      <c r="B13700" t="s">
        <v>170</v>
      </c>
      <c r="E13700" s="3">
        <f>HYPERLINK("https://sao.dolgi.msk.ru/account/1404215643/", 1404215643)</f>
        <v>1404215643</v>
      </c>
      <c r="F13700">
        <v>-1996.74</v>
      </c>
    </row>
    <row r="13701" spans="1:6" hidden="1" x14ac:dyDescent="0.25">
      <c r="A13701" t="s">
        <v>718</v>
      </c>
      <c r="B13701" t="s">
        <v>171</v>
      </c>
      <c r="E13701" s="3">
        <f>HYPERLINK("https://sao.dolgi.msk.ru/account/1404215686/", 1404215686)</f>
        <v>1404215686</v>
      </c>
      <c r="F13701">
        <v>0</v>
      </c>
    </row>
    <row r="13702" spans="1:6" hidden="1" x14ac:dyDescent="0.25">
      <c r="A13702" t="s">
        <v>718</v>
      </c>
      <c r="B13702" t="s">
        <v>172</v>
      </c>
      <c r="E13702" s="3">
        <f>HYPERLINK("https://sao.dolgi.msk.ru/account/1404217307/", 1404217307)</f>
        <v>1404217307</v>
      </c>
      <c r="F13702">
        <v>-1654.69</v>
      </c>
    </row>
    <row r="13703" spans="1:6" hidden="1" x14ac:dyDescent="0.25">
      <c r="A13703" t="s">
        <v>718</v>
      </c>
      <c r="B13703" t="s">
        <v>173</v>
      </c>
      <c r="E13703" s="3">
        <f>HYPERLINK("https://sao.dolgi.msk.ru/account/1404215889/", 1404215889)</f>
        <v>1404215889</v>
      </c>
      <c r="F13703">
        <v>0</v>
      </c>
    </row>
    <row r="13704" spans="1:6" hidden="1" x14ac:dyDescent="0.25">
      <c r="A13704" t="s">
        <v>718</v>
      </c>
      <c r="B13704" t="s">
        <v>174</v>
      </c>
      <c r="E13704" s="3">
        <f>HYPERLINK("https://sao.dolgi.msk.ru/account/1404216064/", 1404216064)</f>
        <v>1404216064</v>
      </c>
      <c r="F13704">
        <v>-2791.73</v>
      </c>
    </row>
    <row r="13705" spans="1:6" hidden="1" x14ac:dyDescent="0.25">
      <c r="A13705" t="s">
        <v>718</v>
      </c>
      <c r="B13705" t="s">
        <v>175</v>
      </c>
      <c r="E13705" s="3">
        <f>HYPERLINK("https://sao.dolgi.msk.ru/account/1404218254/", 1404218254)</f>
        <v>1404218254</v>
      </c>
      <c r="F13705">
        <v>-3540.49</v>
      </c>
    </row>
    <row r="13706" spans="1:6" x14ac:dyDescent="0.25">
      <c r="A13706" t="s">
        <v>718</v>
      </c>
      <c r="B13706" t="s">
        <v>176</v>
      </c>
      <c r="C13706" s="5" t="str">
        <f>" кв. "&amp;B13706</f>
        <v xml:space="preserve"> кв. 172</v>
      </c>
      <c r="D13706" s="5" t="str">
        <f>CONCATENATE(A13706,C13706)</f>
        <v>Фестивальная ул., дом 41 к.2 кв. 172</v>
      </c>
      <c r="E13706" s="3">
        <f>HYPERLINK("https://sao.dolgi.msk.ru/account/1404216443/", 1404216443)</f>
        <v>1404216443</v>
      </c>
      <c r="F13706">
        <v>1239.9000000000001</v>
      </c>
    </row>
    <row r="13707" spans="1:6" hidden="1" x14ac:dyDescent="0.25">
      <c r="A13707" t="s">
        <v>718</v>
      </c>
      <c r="B13707" t="s">
        <v>177</v>
      </c>
      <c r="E13707" s="3">
        <f>HYPERLINK("https://sao.dolgi.msk.ru/account/1404216179/", 1404216179)</f>
        <v>1404216179</v>
      </c>
      <c r="F13707">
        <v>-473.84</v>
      </c>
    </row>
    <row r="13708" spans="1:6" hidden="1" x14ac:dyDescent="0.25">
      <c r="A13708" t="s">
        <v>718</v>
      </c>
      <c r="B13708" t="s">
        <v>178</v>
      </c>
      <c r="E13708" s="3">
        <f>HYPERLINK("https://sao.dolgi.msk.ru/account/1404218238/", 1404218238)</f>
        <v>1404218238</v>
      </c>
      <c r="F13708">
        <v>-1788.74</v>
      </c>
    </row>
    <row r="13709" spans="1:6" hidden="1" x14ac:dyDescent="0.25">
      <c r="A13709" t="s">
        <v>718</v>
      </c>
      <c r="B13709" t="s">
        <v>179</v>
      </c>
      <c r="E13709" s="3">
        <f>HYPERLINK("https://sao.dolgi.msk.ru/account/1404218385/", 1404218385)</f>
        <v>1404218385</v>
      </c>
      <c r="F13709">
        <v>-1405.2</v>
      </c>
    </row>
    <row r="13710" spans="1:6" hidden="1" x14ac:dyDescent="0.25">
      <c r="A13710" t="s">
        <v>718</v>
      </c>
      <c r="B13710" t="s">
        <v>180</v>
      </c>
      <c r="E13710" s="3">
        <f>HYPERLINK("https://sao.dolgi.msk.ru/account/1404217876/", 1404217876)</f>
        <v>1404217876</v>
      </c>
      <c r="F13710">
        <v>-1756.38</v>
      </c>
    </row>
    <row r="13711" spans="1:6" hidden="1" x14ac:dyDescent="0.25">
      <c r="A13711" t="s">
        <v>718</v>
      </c>
      <c r="B13711" t="s">
        <v>181</v>
      </c>
      <c r="E13711" s="3">
        <f>HYPERLINK("https://sao.dolgi.msk.ru/account/1404216056/", 1404216056)</f>
        <v>1404216056</v>
      </c>
      <c r="F13711">
        <v>-2787.11</v>
      </c>
    </row>
    <row r="13712" spans="1:6" hidden="1" x14ac:dyDescent="0.25">
      <c r="A13712" t="s">
        <v>718</v>
      </c>
      <c r="B13712" t="s">
        <v>182</v>
      </c>
      <c r="E13712" s="3">
        <f>HYPERLINK("https://sao.dolgi.msk.ru/account/1404218449/", 1404218449)</f>
        <v>1404218449</v>
      </c>
      <c r="F13712">
        <v>-2985.56</v>
      </c>
    </row>
    <row r="13713" spans="1:6" hidden="1" x14ac:dyDescent="0.25">
      <c r="A13713" t="s">
        <v>718</v>
      </c>
      <c r="B13713" t="s">
        <v>183</v>
      </c>
      <c r="E13713" s="3">
        <f>HYPERLINK("https://sao.dolgi.msk.ru/account/1404215571/", 1404215571)</f>
        <v>1404215571</v>
      </c>
      <c r="F13713">
        <v>-1825.73</v>
      </c>
    </row>
    <row r="13714" spans="1:6" x14ac:dyDescent="0.25">
      <c r="A13714" t="s">
        <v>718</v>
      </c>
      <c r="B13714" t="s">
        <v>184</v>
      </c>
      <c r="C13714" s="5" t="str">
        <f>" кв. "&amp;B13714</f>
        <v xml:space="preserve"> кв. 180</v>
      </c>
      <c r="D13714" s="5" t="str">
        <f>CONCATENATE(A13714,C13714)</f>
        <v>Фестивальная ул., дом 41 к.2 кв. 180</v>
      </c>
      <c r="E13714" s="3">
        <f>HYPERLINK("https://sao.dolgi.msk.ru/account/1404217649/", 1404217649)</f>
        <v>1404217649</v>
      </c>
      <c r="F13714">
        <v>1366.42</v>
      </c>
    </row>
    <row r="13715" spans="1:6" hidden="1" x14ac:dyDescent="0.25">
      <c r="A13715" t="s">
        <v>718</v>
      </c>
      <c r="B13715" t="s">
        <v>185</v>
      </c>
      <c r="E13715" s="3">
        <f>HYPERLINK("https://sao.dolgi.msk.ru/account/1404216208/", 1404216208)</f>
        <v>1404216208</v>
      </c>
      <c r="F13715">
        <v>0</v>
      </c>
    </row>
    <row r="13716" spans="1:6" x14ac:dyDescent="0.25">
      <c r="A13716" t="s">
        <v>718</v>
      </c>
      <c r="B13716" t="s">
        <v>186</v>
      </c>
      <c r="C13716" s="5" t="str">
        <f>" кв. "&amp;B13716</f>
        <v xml:space="preserve"> кв. 182</v>
      </c>
      <c r="D13716" s="5" t="str">
        <f>CONCATENATE(A13716,C13716)</f>
        <v>Фестивальная ул., дом 41 к.2 кв. 182</v>
      </c>
      <c r="E13716" s="3">
        <f>HYPERLINK("https://sao.dolgi.msk.ru/account/1404215766/", 1404215766)</f>
        <v>1404215766</v>
      </c>
      <c r="F13716">
        <v>1132.3499999999999</v>
      </c>
    </row>
    <row r="13717" spans="1:6" hidden="1" x14ac:dyDescent="0.25">
      <c r="A13717" t="s">
        <v>718</v>
      </c>
      <c r="B13717" t="s">
        <v>187</v>
      </c>
      <c r="E13717" s="3">
        <f>HYPERLINK("https://sao.dolgi.msk.ru/account/1404215918/", 1404215918)</f>
        <v>1404215918</v>
      </c>
      <c r="F13717">
        <v>-998.36</v>
      </c>
    </row>
    <row r="13718" spans="1:6" hidden="1" x14ac:dyDescent="0.25">
      <c r="A13718" t="s">
        <v>718</v>
      </c>
      <c r="B13718" t="s">
        <v>188</v>
      </c>
      <c r="E13718" s="3">
        <f>HYPERLINK("https://sao.dolgi.msk.ru/account/1404216646/", 1404216646)</f>
        <v>1404216646</v>
      </c>
      <c r="F13718">
        <v>-2791.73</v>
      </c>
    </row>
    <row r="13719" spans="1:6" x14ac:dyDescent="0.25">
      <c r="A13719" t="s">
        <v>718</v>
      </c>
      <c r="B13719" t="s">
        <v>189</v>
      </c>
      <c r="C13719" s="5" t="str">
        <f>" кв. "&amp;B13719</f>
        <v xml:space="preserve"> кв. 185</v>
      </c>
      <c r="D13719" s="5" t="str">
        <f>CONCATENATE(A13719,C13719)</f>
        <v>Фестивальная ул., дом 41 к.2 кв. 185</v>
      </c>
      <c r="E13719" s="3">
        <f>HYPERLINK("https://sao.dolgi.msk.ru/account/1404216603/", 1404216603)</f>
        <v>1404216603</v>
      </c>
      <c r="F13719">
        <v>2419.6999999999998</v>
      </c>
    </row>
    <row r="13720" spans="1:6" hidden="1" x14ac:dyDescent="0.25">
      <c r="A13720" t="s">
        <v>718</v>
      </c>
      <c r="B13720" t="s">
        <v>190</v>
      </c>
      <c r="E13720" s="3">
        <f>HYPERLINK("https://sao.dolgi.msk.ru/account/1404216021/", 1404216021)</f>
        <v>1404216021</v>
      </c>
      <c r="F13720">
        <v>0</v>
      </c>
    </row>
    <row r="13721" spans="1:6" hidden="1" x14ac:dyDescent="0.25">
      <c r="A13721" t="s">
        <v>718</v>
      </c>
      <c r="B13721" t="s">
        <v>191</v>
      </c>
      <c r="E13721" s="3">
        <f>HYPERLINK("https://sao.dolgi.msk.ru/account/1404217171/", 1404217171)</f>
        <v>1404217171</v>
      </c>
      <c r="F13721">
        <v>-1505.99</v>
      </c>
    </row>
    <row r="13722" spans="1:6" hidden="1" x14ac:dyDescent="0.25">
      <c r="A13722" t="s">
        <v>718</v>
      </c>
      <c r="B13722" t="s">
        <v>192</v>
      </c>
      <c r="E13722" s="3">
        <f>HYPERLINK("https://sao.dolgi.msk.ru/account/1404216283/", 1404216283)</f>
        <v>1404216283</v>
      </c>
      <c r="F13722">
        <v>-1784.12</v>
      </c>
    </row>
    <row r="13723" spans="1:6" hidden="1" x14ac:dyDescent="0.25">
      <c r="A13723" t="s">
        <v>718</v>
      </c>
      <c r="B13723" t="s">
        <v>193</v>
      </c>
      <c r="E13723" s="3">
        <f>HYPERLINK("https://sao.dolgi.msk.ru/account/1404216662/", 1404216662)</f>
        <v>1404216662</v>
      </c>
      <c r="F13723">
        <v>-1654.69</v>
      </c>
    </row>
    <row r="13724" spans="1:6" hidden="1" x14ac:dyDescent="0.25">
      <c r="A13724" t="s">
        <v>718</v>
      </c>
      <c r="B13724" t="s">
        <v>194</v>
      </c>
      <c r="E13724" s="3">
        <f>HYPERLINK("https://sao.dolgi.msk.ru/account/1404215651/", 1404215651)</f>
        <v>1404215651</v>
      </c>
      <c r="F13724">
        <v>0</v>
      </c>
    </row>
    <row r="13725" spans="1:6" hidden="1" x14ac:dyDescent="0.25">
      <c r="A13725" t="s">
        <v>718</v>
      </c>
      <c r="B13725" t="s">
        <v>195</v>
      </c>
      <c r="E13725" s="3">
        <f>HYPERLINK("https://sao.dolgi.msk.ru/account/1404215897/", 1404215897)</f>
        <v>1404215897</v>
      </c>
      <c r="F13725">
        <v>0</v>
      </c>
    </row>
    <row r="13726" spans="1:6" hidden="1" x14ac:dyDescent="0.25">
      <c r="A13726" t="s">
        <v>718</v>
      </c>
      <c r="B13726" t="s">
        <v>196</v>
      </c>
      <c r="E13726" s="3">
        <f>HYPERLINK("https://sao.dolgi.msk.ru/account/1404217147/", 1404217147)</f>
        <v>1404217147</v>
      </c>
      <c r="F13726">
        <v>-2317.4499999999998</v>
      </c>
    </row>
    <row r="13727" spans="1:6" x14ac:dyDescent="0.25">
      <c r="A13727" t="s">
        <v>718</v>
      </c>
      <c r="B13727" t="s">
        <v>197</v>
      </c>
      <c r="C13727" s="5" t="str">
        <f>" кв. "&amp;B13727</f>
        <v xml:space="preserve"> кв. 193</v>
      </c>
      <c r="D13727" s="5" t="str">
        <f>CONCATENATE(A13727,C13727)</f>
        <v>Фестивальная ул., дом 41 к.2 кв. 193</v>
      </c>
      <c r="E13727" s="3">
        <f>HYPERLINK("https://sao.dolgi.msk.ru/account/1404217016/", 1404217016)</f>
        <v>1404217016</v>
      </c>
      <c r="F13727">
        <v>1239.9000000000001</v>
      </c>
    </row>
    <row r="13728" spans="1:6" hidden="1" x14ac:dyDescent="0.25">
      <c r="A13728" t="s">
        <v>718</v>
      </c>
      <c r="B13728" t="s">
        <v>198</v>
      </c>
      <c r="E13728" s="3">
        <f>HYPERLINK("https://sao.dolgi.msk.ru/account/1404216929/", 1404216929)</f>
        <v>1404216929</v>
      </c>
      <c r="F13728">
        <v>0</v>
      </c>
    </row>
    <row r="13729" spans="1:6" hidden="1" x14ac:dyDescent="0.25">
      <c r="A13729" t="s">
        <v>718</v>
      </c>
      <c r="B13729" t="s">
        <v>199</v>
      </c>
      <c r="E13729" s="3">
        <f>HYPERLINK("https://sao.dolgi.msk.ru/account/1404217657/", 1404217657)</f>
        <v>1404217657</v>
      </c>
      <c r="F13729">
        <v>-1788.74</v>
      </c>
    </row>
    <row r="13730" spans="1:6" hidden="1" x14ac:dyDescent="0.25">
      <c r="A13730" t="s">
        <v>718</v>
      </c>
      <c r="B13730" t="s">
        <v>200</v>
      </c>
      <c r="E13730" s="3">
        <f>HYPERLINK("https://sao.dolgi.msk.ru/account/1404217112/", 1404217112)</f>
        <v>1404217112</v>
      </c>
      <c r="F13730">
        <v>-867.73</v>
      </c>
    </row>
    <row r="13731" spans="1:6" hidden="1" x14ac:dyDescent="0.25">
      <c r="A13731" t="s">
        <v>718</v>
      </c>
      <c r="B13731" t="s">
        <v>201</v>
      </c>
      <c r="E13731" s="3">
        <f>HYPERLINK("https://sao.dolgi.msk.ru/account/1404217497/", 1404217497)</f>
        <v>1404217497</v>
      </c>
      <c r="F13731">
        <v>0</v>
      </c>
    </row>
    <row r="13732" spans="1:6" hidden="1" x14ac:dyDescent="0.25">
      <c r="A13732" t="s">
        <v>718</v>
      </c>
      <c r="B13732" t="s">
        <v>202</v>
      </c>
      <c r="E13732" s="3">
        <f>HYPERLINK("https://sao.dolgi.msk.ru/account/1404216195/", 1404216195)</f>
        <v>1404216195</v>
      </c>
      <c r="F13732">
        <v>-2796.36</v>
      </c>
    </row>
    <row r="13733" spans="1:6" x14ac:dyDescent="0.25">
      <c r="A13733" t="s">
        <v>718</v>
      </c>
      <c r="B13733" t="s">
        <v>203</v>
      </c>
      <c r="C13733" s="5" t="str">
        <f>" кв. "&amp;B13733</f>
        <v xml:space="preserve"> кв. 199</v>
      </c>
      <c r="D13733" s="5" t="str">
        <f>CONCATENATE(A13733,C13733)</f>
        <v>Фестивальная ул., дом 41 к.2 кв. 199</v>
      </c>
      <c r="E13733" s="3">
        <f>HYPERLINK("https://sao.dolgi.msk.ru/account/1404215934/", 1404215934)</f>
        <v>1404215934</v>
      </c>
      <c r="F13733">
        <v>2426.02</v>
      </c>
    </row>
    <row r="13734" spans="1:6" hidden="1" x14ac:dyDescent="0.25">
      <c r="A13734" t="s">
        <v>718</v>
      </c>
      <c r="B13734" t="s">
        <v>204</v>
      </c>
      <c r="E13734" s="3">
        <f>HYPERLINK("https://sao.dolgi.msk.ru/account/1404216902/", 1404216902)</f>
        <v>1404216902</v>
      </c>
      <c r="F13734">
        <v>0</v>
      </c>
    </row>
    <row r="13735" spans="1:6" hidden="1" x14ac:dyDescent="0.25">
      <c r="A13735" t="s">
        <v>718</v>
      </c>
      <c r="B13735" t="s">
        <v>205</v>
      </c>
      <c r="E13735" s="3">
        <f>HYPERLINK("https://sao.dolgi.msk.ru/account/1404216072/", 1404216072)</f>
        <v>1404216072</v>
      </c>
      <c r="F13735">
        <v>-1982.87</v>
      </c>
    </row>
    <row r="13736" spans="1:6" hidden="1" x14ac:dyDescent="0.25">
      <c r="A13736" t="s">
        <v>718</v>
      </c>
      <c r="B13736" t="s">
        <v>206</v>
      </c>
      <c r="E13736" s="3">
        <f>HYPERLINK("https://sao.dolgi.msk.ru/account/1404216785/", 1404216785)</f>
        <v>1404216785</v>
      </c>
      <c r="F13736">
        <v>0</v>
      </c>
    </row>
    <row r="13737" spans="1:6" hidden="1" x14ac:dyDescent="0.25">
      <c r="A13737" t="s">
        <v>718</v>
      </c>
      <c r="B13737" t="s">
        <v>207</v>
      </c>
      <c r="E13737" s="3">
        <f>HYPERLINK("https://sao.dolgi.msk.ru/account/1404215723/", 1404215723)</f>
        <v>1404215723</v>
      </c>
      <c r="F13737">
        <v>0</v>
      </c>
    </row>
    <row r="13738" spans="1:6" hidden="1" x14ac:dyDescent="0.25">
      <c r="A13738" t="s">
        <v>718</v>
      </c>
      <c r="B13738" t="s">
        <v>208</v>
      </c>
      <c r="E13738" s="3">
        <f>HYPERLINK("https://sao.dolgi.msk.ru/account/1404217251/", 1404217251)</f>
        <v>1404217251</v>
      </c>
      <c r="F13738">
        <v>0</v>
      </c>
    </row>
    <row r="13739" spans="1:6" hidden="1" x14ac:dyDescent="0.25">
      <c r="A13739" t="s">
        <v>718</v>
      </c>
      <c r="B13739" t="s">
        <v>209</v>
      </c>
      <c r="E13739" s="3">
        <f>HYPERLINK("https://sao.dolgi.msk.ru/account/1404216881/", 1404216881)</f>
        <v>1404216881</v>
      </c>
      <c r="F13739">
        <v>-2539.42</v>
      </c>
    </row>
    <row r="13740" spans="1:6" x14ac:dyDescent="0.25">
      <c r="A13740" t="s">
        <v>718</v>
      </c>
      <c r="B13740" t="s">
        <v>210</v>
      </c>
      <c r="C13740" s="5" t="str">
        <f t="shared" ref="C13740:C13741" si="550">" кв. "&amp;B13740</f>
        <v xml:space="preserve"> кв. 206</v>
      </c>
      <c r="D13740" s="5" t="str">
        <f>CONCATENATE(A13740,C13740)</f>
        <v>Фестивальная ул., дом 41 к.2 кв. 206</v>
      </c>
      <c r="E13740" s="3">
        <f>HYPERLINK("https://sao.dolgi.msk.ru/account/1404215862/", 1404215862)</f>
        <v>1404215862</v>
      </c>
      <c r="F13740">
        <v>2419.6999999999998</v>
      </c>
    </row>
    <row r="13741" spans="1:6" x14ac:dyDescent="0.25">
      <c r="A13741" t="s">
        <v>718</v>
      </c>
      <c r="B13741" t="s">
        <v>211</v>
      </c>
      <c r="C13741" s="5" t="str">
        <f t="shared" si="550"/>
        <v xml:space="preserve"> кв. 207</v>
      </c>
      <c r="D13741" s="5" t="str">
        <f>CONCATENATE(A13741,C13741)</f>
        <v>Фестивальная ул., дом 41 к.2 кв. 207</v>
      </c>
      <c r="E13741" s="3">
        <f>HYPERLINK("https://sao.dolgi.msk.ru/account/1404215598/", 1404215598)</f>
        <v>1404215598</v>
      </c>
      <c r="F13741">
        <v>1246.22</v>
      </c>
    </row>
    <row r="13742" spans="1:6" hidden="1" x14ac:dyDescent="0.25">
      <c r="A13742" t="s">
        <v>718</v>
      </c>
      <c r="B13742" t="s">
        <v>212</v>
      </c>
      <c r="E13742" s="3">
        <f>HYPERLINK("https://sao.dolgi.msk.ru/account/1404218422/", 1404218422)</f>
        <v>1404218422</v>
      </c>
      <c r="F13742">
        <v>-1685.48</v>
      </c>
    </row>
    <row r="13743" spans="1:6" hidden="1" x14ac:dyDescent="0.25">
      <c r="A13743" t="s">
        <v>718</v>
      </c>
      <c r="B13743" t="s">
        <v>213</v>
      </c>
      <c r="E13743" s="3">
        <f>HYPERLINK("https://sao.dolgi.msk.ru/account/1404218393/", 1404218393)</f>
        <v>1404218393</v>
      </c>
      <c r="F13743">
        <v>0</v>
      </c>
    </row>
    <row r="13744" spans="1:6" hidden="1" x14ac:dyDescent="0.25">
      <c r="A13744" t="s">
        <v>718</v>
      </c>
      <c r="B13744" t="s">
        <v>214</v>
      </c>
      <c r="E13744" s="3">
        <f>HYPERLINK("https://sao.dolgi.msk.ru/account/1404217104/", 1404217104)</f>
        <v>1404217104</v>
      </c>
      <c r="F13744">
        <v>0</v>
      </c>
    </row>
    <row r="13745" spans="1:6" hidden="1" x14ac:dyDescent="0.25">
      <c r="A13745" t="s">
        <v>718</v>
      </c>
      <c r="B13745" t="s">
        <v>215</v>
      </c>
      <c r="E13745" s="3">
        <f>HYPERLINK("https://sao.dolgi.msk.ru/account/1404216961/", 1404216961)</f>
        <v>1404216961</v>
      </c>
      <c r="F13745">
        <v>-1774.87</v>
      </c>
    </row>
    <row r="13746" spans="1:6" hidden="1" x14ac:dyDescent="0.25">
      <c r="A13746" t="s">
        <v>718</v>
      </c>
      <c r="B13746" t="s">
        <v>216</v>
      </c>
      <c r="E13746" s="3">
        <f>HYPERLINK("https://sao.dolgi.msk.ru/account/1404216419/", 1404216419)</f>
        <v>1404216419</v>
      </c>
      <c r="F13746">
        <v>-2343.31</v>
      </c>
    </row>
    <row r="13747" spans="1:6" hidden="1" x14ac:dyDescent="0.25">
      <c r="A13747" t="s">
        <v>718</v>
      </c>
      <c r="B13747" t="s">
        <v>217</v>
      </c>
      <c r="E13747" s="3">
        <f>HYPERLINK("https://sao.dolgi.msk.ru/account/1404217841/", 1404217841)</f>
        <v>1404217841</v>
      </c>
      <c r="F13747">
        <v>-3540.5</v>
      </c>
    </row>
    <row r="13748" spans="1:6" hidden="1" x14ac:dyDescent="0.25">
      <c r="A13748" t="s">
        <v>718</v>
      </c>
      <c r="B13748" t="s">
        <v>218</v>
      </c>
      <c r="E13748" s="3">
        <f>HYPERLINK("https://sao.dolgi.msk.ru/account/1404217913/", 1404217913)</f>
        <v>1404217913</v>
      </c>
      <c r="F13748">
        <v>-1533.66</v>
      </c>
    </row>
    <row r="13749" spans="1:6" hidden="1" x14ac:dyDescent="0.25">
      <c r="A13749" t="s">
        <v>718</v>
      </c>
      <c r="B13749" t="s">
        <v>219</v>
      </c>
      <c r="E13749" s="3">
        <f>HYPERLINK("https://sao.dolgi.msk.ru/account/1404217972/", 1404217972)</f>
        <v>1404217972</v>
      </c>
      <c r="F13749">
        <v>-1087.1400000000001</v>
      </c>
    </row>
    <row r="13750" spans="1:6" x14ac:dyDescent="0.25">
      <c r="A13750" t="s">
        <v>718</v>
      </c>
      <c r="B13750" t="s">
        <v>220</v>
      </c>
      <c r="C13750" s="5" t="str">
        <f>" кв. "&amp;B13750</f>
        <v xml:space="preserve"> кв. 216</v>
      </c>
      <c r="D13750" s="5" t="str">
        <f>CONCATENATE(A13750,C13750)</f>
        <v>Фестивальная ул., дом 41 к.2 кв. 216</v>
      </c>
      <c r="E13750" s="3">
        <f>HYPERLINK("https://sao.dolgi.msk.ru/account/1404217403/", 1404217403)</f>
        <v>1404217403</v>
      </c>
      <c r="F13750">
        <v>1220.92</v>
      </c>
    </row>
    <row r="13751" spans="1:6" hidden="1" x14ac:dyDescent="0.25">
      <c r="A13751" t="s">
        <v>718</v>
      </c>
      <c r="B13751" t="s">
        <v>221</v>
      </c>
      <c r="E13751" s="3">
        <f>HYPERLINK("https://sao.dolgi.msk.ru/account/1404217008/", 1404217008)</f>
        <v>1404217008</v>
      </c>
      <c r="F13751">
        <v>-1659.32</v>
      </c>
    </row>
    <row r="13752" spans="1:6" hidden="1" x14ac:dyDescent="0.25">
      <c r="A13752" t="s">
        <v>718</v>
      </c>
      <c r="B13752" t="s">
        <v>222</v>
      </c>
      <c r="E13752" s="3">
        <f>HYPERLINK("https://sao.dolgi.msk.ru/account/1404216355/", 1404216355)</f>
        <v>1404216355</v>
      </c>
      <c r="F13752">
        <v>-1756.38</v>
      </c>
    </row>
    <row r="13753" spans="1:6" hidden="1" x14ac:dyDescent="0.25">
      <c r="A13753" t="s">
        <v>718</v>
      </c>
      <c r="B13753" t="s">
        <v>223</v>
      </c>
      <c r="E13753" s="3">
        <f>HYPERLINK("https://sao.dolgi.msk.ru/account/1404218051/", 1404218051)</f>
        <v>1404218051</v>
      </c>
      <c r="F13753">
        <v>0</v>
      </c>
    </row>
    <row r="13754" spans="1:6" hidden="1" x14ac:dyDescent="0.25">
      <c r="A13754" t="s">
        <v>718</v>
      </c>
      <c r="B13754" t="s">
        <v>224</v>
      </c>
      <c r="E13754" s="3">
        <f>HYPERLINK("https://sao.dolgi.msk.ru/account/1404217358/", 1404217358)</f>
        <v>1404217358</v>
      </c>
      <c r="F13754">
        <v>-3549.74</v>
      </c>
    </row>
    <row r="13755" spans="1:6" hidden="1" x14ac:dyDescent="0.25">
      <c r="A13755" t="s">
        <v>718</v>
      </c>
      <c r="B13755" t="s">
        <v>225</v>
      </c>
      <c r="E13755" s="3">
        <f>HYPERLINK("https://sao.dolgi.msk.ru/account/1404216267/", 1404216267)</f>
        <v>1404216267</v>
      </c>
      <c r="F13755">
        <v>0</v>
      </c>
    </row>
    <row r="13756" spans="1:6" hidden="1" x14ac:dyDescent="0.25">
      <c r="A13756" t="s">
        <v>718</v>
      </c>
      <c r="B13756" t="s">
        <v>226</v>
      </c>
      <c r="E13756" s="3">
        <f>HYPERLINK("https://sao.dolgi.msk.ru/account/1404216865/", 1404216865)</f>
        <v>1404216865</v>
      </c>
      <c r="F13756">
        <v>0</v>
      </c>
    </row>
    <row r="13757" spans="1:6" hidden="1" x14ac:dyDescent="0.25">
      <c r="A13757" t="s">
        <v>718</v>
      </c>
      <c r="B13757" t="s">
        <v>227</v>
      </c>
      <c r="E13757" s="3">
        <f>HYPERLINK("https://sao.dolgi.msk.ru/account/1404216531/", 1404216531)</f>
        <v>1404216531</v>
      </c>
      <c r="F13757">
        <v>-1784.12</v>
      </c>
    </row>
    <row r="13758" spans="1:6" x14ac:dyDescent="0.25">
      <c r="A13758" t="s">
        <v>718</v>
      </c>
      <c r="B13758" t="s">
        <v>228</v>
      </c>
      <c r="C13758" s="5" t="str">
        <f>" кв. "&amp;B13758</f>
        <v xml:space="preserve"> кв. 224</v>
      </c>
      <c r="D13758" s="5" t="str">
        <f>CONCATENATE(A13758,C13758)</f>
        <v>Фестивальная ул., дом 41 к.2 кв. 224</v>
      </c>
      <c r="E13758" s="3">
        <f>HYPERLINK("https://sao.dolgi.msk.ru/account/1404216435/", 1404216435)</f>
        <v>1404216435</v>
      </c>
      <c r="F13758">
        <v>1129.19</v>
      </c>
    </row>
    <row r="13759" spans="1:6" hidden="1" x14ac:dyDescent="0.25">
      <c r="A13759" t="s">
        <v>718</v>
      </c>
      <c r="B13759" t="s">
        <v>229</v>
      </c>
      <c r="E13759" s="3">
        <f>HYPERLINK("https://sao.dolgi.msk.ru/account/1404217622/", 1404217622)</f>
        <v>1404217622</v>
      </c>
      <c r="F13759">
        <v>0</v>
      </c>
    </row>
    <row r="13760" spans="1:6" hidden="1" x14ac:dyDescent="0.25">
      <c r="A13760" t="s">
        <v>718</v>
      </c>
      <c r="B13760" t="s">
        <v>230</v>
      </c>
      <c r="E13760" s="3">
        <f>HYPERLINK("https://sao.dolgi.msk.ru/account/1404216013/", 1404216013)</f>
        <v>1404216013</v>
      </c>
      <c r="F13760">
        <v>-2791.73</v>
      </c>
    </row>
    <row r="13761" spans="1:6" hidden="1" x14ac:dyDescent="0.25">
      <c r="A13761" t="s">
        <v>718</v>
      </c>
      <c r="B13761" t="s">
        <v>231</v>
      </c>
      <c r="E13761" s="3">
        <f>HYPERLINK("https://sao.dolgi.msk.ru/account/1404215854/", 1404215854)</f>
        <v>1404215854</v>
      </c>
      <c r="F13761">
        <v>-9412.16</v>
      </c>
    </row>
    <row r="13762" spans="1:6" x14ac:dyDescent="0.25">
      <c r="A13762" t="s">
        <v>718</v>
      </c>
      <c r="B13762" t="s">
        <v>232</v>
      </c>
      <c r="C13762" s="5" t="str">
        <f t="shared" ref="C13762:C13763" si="551">" кв. "&amp;B13762</f>
        <v xml:space="preserve"> кв. 228</v>
      </c>
      <c r="D13762" s="5" t="str">
        <f>CONCATENATE(A13762,C13762)</f>
        <v>Фестивальная ул., дом 41 к.2 кв. 228</v>
      </c>
      <c r="E13762" s="3">
        <f>HYPERLINK("https://sao.dolgi.msk.ru/account/1404215563/", 1404215563)</f>
        <v>1404215563</v>
      </c>
      <c r="F13762">
        <v>1372.74</v>
      </c>
    </row>
    <row r="13763" spans="1:6" x14ac:dyDescent="0.25">
      <c r="A13763" t="s">
        <v>718</v>
      </c>
      <c r="B13763" t="s">
        <v>233</v>
      </c>
      <c r="C13763" s="5" t="str">
        <f t="shared" si="551"/>
        <v xml:space="preserve"> кв. 229</v>
      </c>
      <c r="D13763" s="5" t="str">
        <f>CONCATENATE(A13763,C13763)</f>
        <v>Фестивальная ул., дом 41 к.2 кв. 229</v>
      </c>
      <c r="E13763" s="3">
        <f>HYPERLINK("https://sao.dolgi.msk.ru/account/1404217569/", 1404217569)</f>
        <v>1404217569</v>
      </c>
      <c r="F13763">
        <v>1220.92</v>
      </c>
    </row>
    <row r="13764" spans="1:6" hidden="1" x14ac:dyDescent="0.25">
      <c r="A13764" t="s">
        <v>718</v>
      </c>
      <c r="B13764" t="s">
        <v>234</v>
      </c>
      <c r="E13764" s="3">
        <f>HYPERLINK("https://sao.dolgi.msk.ru/account/1404216937/", 1404216937)</f>
        <v>1404216937</v>
      </c>
      <c r="F13764">
        <v>-520.88</v>
      </c>
    </row>
    <row r="13765" spans="1:6" x14ac:dyDescent="0.25">
      <c r="A13765" t="s">
        <v>718</v>
      </c>
      <c r="B13765" t="s">
        <v>235</v>
      </c>
      <c r="C13765" s="5" t="str">
        <f t="shared" ref="C13765:C13766" si="552">" кв. "&amp;B13765</f>
        <v xml:space="preserve"> кв. 231</v>
      </c>
      <c r="D13765" s="5" t="str">
        <f>CONCATENATE(A13765,C13765)</f>
        <v>Фестивальная ул., дом 41 к.2 кв. 231</v>
      </c>
      <c r="E13765" s="3">
        <f>HYPERLINK("https://sao.dolgi.msk.ru/account/1404215977/", 1404215977)</f>
        <v>1404215977</v>
      </c>
      <c r="F13765">
        <v>676.88</v>
      </c>
    </row>
    <row r="13766" spans="1:6" x14ac:dyDescent="0.25">
      <c r="A13766" t="s">
        <v>718</v>
      </c>
      <c r="B13766" t="s">
        <v>239</v>
      </c>
      <c r="C13766" s="5" t="str">
        <f t="shared" si="552"/>
        <v xml:space="preserve"> кв. 232</v>
      </c>
      <c r="D13766" s="5" t="str">
        <f>CONCATENATE(A13766,C13766)</f>
        <v>Фестивальная ул., дом 41 к.2 кв. 232</v>
      </c>
      <c r="E13766" s="3">
        <f>HYPERLINK("https://sao.dolgi.msk.ru/account/1404216806/", 1404216806)</f>
        <v>1404216806</v>
      </c>
      <c r="F13766">
        <v>1891.47</v>
      </c>
    </row>
    <row r="13767" spans="1:6" hidden="1" x14ac:dyDescent="0.25">
      <c r="A13767" t="s">
        <v>718</v>
      </c>
      <c r="B13767" t="s">
        <v>240</v>
      </c>
      <c r="E13767" s="3">
        <f>HYPERLINK("https://sao.dolgi.msk.ru/account/1404218262/", 1404218262)</f>
        <v>1404218262</v>
      </c>
      <c r="F13767">
        <v>-5629.67</v>
      </c>
    </row>
    <row r="13768" spans="1:6" hidden="1" x14ac:dyDescent="0.25">
      <c r="A13768" t="s">
        <v>718</v>
      </c>
      <c r="B13768" t="s">
        <v>241</v>
      </c>
      <c r="E13768" s="3">
        <f>HYPERLINK("https://sao.dolgi.msk.ru/account/1404217278/", 1404217278)</f>
        <v>1404217278</v>
      </c>
      <c r="F13768">
        <v>-1681.58</v>
      </c>
    </row>
    <row r="13769" spans="1:6" hidden="1" x14ac:dyDescent="0.25">
      <c r="A13769" t="s">
        <v>718</v>
      </c>
      <c r="B13769" t="s">
        <v>242</v>
      </c>
      <c r="E13769" s="3">
        <f>HYPERLINK("https://sao.dolgi.msk.ru/account/1404216187/", 1404216187)</f>
        <v>1404216187</v>
      </c>
      <c r="F13769">
        <v>0</v>
      </c>
    </row>
    <row r="13770" spans="1:6" hidden="1" x14ac:dyDescent="0.25">
      <c r="A13770" t="s">
        <v>718</v>
      </c>
      <c r="B13770" t="s">
        <v>243</v>
      </c>
      <c r="E13770" s="3">
        <f>HYPERLINK("https://sao.dolgi.msk.ru/account/1404215803/", 1404215803)</f>
        <v>1404215803</v>
      </c>
      <c r="F13770">
        <v>-1645.45</v>
      </c>
    </row>
    <row r="13771" spans="1:6" x14ac:dyDescent="0.25">
      <c r="A13771" t="s">
        <v>718</v>
      </c>
      <c r="B13771" t="s">
        <v>244</v>
      </c>
      <c r="C13771" s="5" t="str">
        <f>" кв. "&amp;B13771</f>
        <v xml:space="preserve"> кв. 237</v>
      </c>
      <c r="D13771" s="5" t="str">
        <f>CONCATENATE(A13771,C13771)</f>
        <v>Фестивальная ул., дом 41 к.2 кв. 237</v>
      </c>
      <c r="E13771" s="3">
        <f>HYPERLINK("https://sao.dolgi.msk.ru/account/1404218369/", 1404218369)</f>
        <v>1404218369</v>
      </c>
      <c r="F13771">
        <v>1205.0999999999999</v>
      </c>
    </row>
    <row r="13772" spans="1:6" hidden="1" x14ac:dyDescent="0.25">
      <c r="A13772" t="s">
        <v>718</v>
      </c>
      <c r="B13772" t="s">
        <v>245</v>
      </c>
      <c r="E13772" s="3">
        <f>HYPERLINK("https://sao.dolgi.msk.ru/account/1404216371/", 1404216371)</f>
        <v>1404216371</v>
      </c>
      <c r="F13772">
        <v>0</v>
      </c>
    </row>
    <row r="13773" spans="1:6" hidden="1" x14ac:dyDescent="0.25">
      <c r="A13773" t="s">
        <v>719</v>
      </c>
      <c r="B13773" t="s">
        <v>5</v>
      </c>
      <c r="E13773" s="3">
        <f>HYPERLINK("https://sao.dolgi.msk.ru/account/1404220135/", 1404220135)</f>
        <v>1404220135</v>
      </c>
      <c r="F13773">
        <v>0</v>
      </c>
    </row>
    <row r="13774" spans="1:6" hidden="1" x14ac:dyDescent="0.25">
      <c r="A13774" t="s">
        <v>719</v>
      </c>
      <c r="B13774" t="s">
        <v>6</v>
      </c>
      <c r="E13774" s="3">
        <f>HYPERLINK("https://sao.dolgi.msk.ru/account/1404219396/", 1404219396)</f>
        <v>1404219396</v>
      </c>
      <c r="F13774">
        <v>-1906.62</v>
      </c>
    </row>
    <row r="13775" spans="1:6" hidden="1" x14ac:dyDescent="0.25">
      <c r="A13775" t="s">
        <v>719</v>
      </c>
      <c r="B13775" t="s">
        <v>7</v>
      </c>
      <c r="E13775" s="3">
        <f>HYPERLINK("https://sao.dolgi.msk.ru/account/1404219361/", 1404219361)</f>
        <v>1404219361</v>
      </c>
      <c r="F13775">
        <v>-1520.36</v>
      </c>
    </row>
    <row r="13776" spans="1:6" hidden="1" x14ac:dyDescent="0.25">
      <c r="A13776" t="s">
        <v>719</v>
      </c>
      <c r="B13776" t="s">
        <v>8</v>
      </c>
      <c r="E13776" s="3">
        <f>HYPERLINK("https://sao.dolgi.msk.ru/account/1404218617/", 1404218617)</f>
        <v>1404218617</v>
      </c>
      <c r="F13776">
        <v>-3475.8</v>
      </c>
    </row>
    <row r="13777" spans="1:6" x14ac:dyDescent="0.25">
      <c r="A13777" t="s">
        <v>719</v>
      </c>
      <c r="B13777" t="s">
        <v>9</v>
      </c>
      <c r="C13777" s="5" t="str">
        <f>" кв. "&amp;B13777</f>
        <v xml:space="preserve"> кв. 5</v>
      </c>
      <c r="D13777" s="5" t="str">
        <f>CONCATENATE(A13777,C13777)</f>
        <v>Фестивальная ул., дом 41 к.3 кв. 5</v>
      </c>
      <c r="E13777" s="3">
        <f>HYPERLINK("https://sao.dolgi.msk.ru/account/1404221007/", 1404221007)</f>
        <v>1404221007</v>
      </c>
      <c r="F13777">
        <v>1176.6300000000001</v>
      </c>
    </row>
    <row r="13778" spans="1:6" hidden="1" x14ac:dyDescent="0.25">
      <c r="A13778" t="s">
        <v>719</v>
      </c>
      <c r="B13778" t="s">
        <v>10</v>
      </c>
      <c r="E13778" s="3">
        <f>HYPERLINK("https://sao.dolgi.msk.ru/account/1404220821/", 1404220821)</f>
        <v>1404220821</v>
      </c>
      <c r="F13778">
        <v>0</v>
      </c>
    </row>
    <row r="13779" spans="1:6" hidden="1" x14ac:dyDescent="0.25">
      <c r="A13779" t="s">
        <v>719</v>
      </c>
      <c r="B13779" t="s">
        <v>11</v>
      </c>
      <c r="E13779" s="3">
        <f>HYPERLINK("https://sao.dolgi.msk.ru/account/1404221349/", 1404221349)</f>
        <v>1404221349</v>
      </c>
      <c r="F13779">
        <v>-1940.47</v>
      </c>
    </row>
    <row r="13780" spans="1:6" x14ac:dyDescent="0.25">
      <c r="A13780" t="s">
        <v>719</v>
      </c>
      <c r="B13780" t="s">
        <v>12</v>
      </c>
      <c r="C13780" s="5" t="str">
        <f>" кв. "&amp;B13780</f>
        <v xml:space="preserve"> кв. 8</v>
      </c>
      <c r="D13780" s="5" t="str">
        <f>CONCATENATE(A13780,C13780)</f>
        <v>Фестивальная ул., дом 41 к.3 кв. 8</v>
      </c>
      <c r="E13780" s="3">
        <f>HYPERLINK("https://sao.dolgi.msk.ru/account/1404218983/", 1404218983)</f>
        <v>1404218983</v>
      </c>
      <c r="F13780">
        <v>1859.84</v>
      </c>
    </row>
    <row r="13781" spans="1:6" hidden="1" x14ac:dyDescent="0.25">
      <c r="A13781" t="s">
        <v>719</v>
      </c>
      <c r="B13781" t="s">
        <v>13</v>
      </c>
      <c r="E13781" s="3">
        <f>HYPERLINK("https://sao.dolgi.msk.ru/account/1404218975/", 1404218975)</f>
        <v>1404218975</v>
      </c>
      <c r="F13781">
        <v>-3338.64</v>
      </c>
    </row>
    <row r="13782" spans="1:6" hidden="1" x14ac:dyDescent="0.25">
      <c r="A13782" t="s">
        <v>719</v>
      </c>
      <c r="B13782" t="s">
        <v>14</v>
      </c>
      <c r="E13782" s="3">
        <f>HYPERLINK("https://sao.dolgi.msk.ru/account/1404219935/", 1404219935)</f>
        <v>1404219935</v>
      </c>
      <c r="F13782">
        <v>-2094.19</v>
      </c>
    </row>
    <row r="13783" spans="1:6" x14ac:dyDescent="0.25">
      <c r="A13783" t="s">
        <v>719</v>
      </c>
      <c r="B13783" t="s">
        <v>15</v>
      </c>
      <c r="C13783" s="5" t="str">
        <f>" кв. "&amp;B13783</f>
        <v xml:space="preserve"> кв. 11</v>
      </c>
      <c r="D13783" s="5" t="str">
        <f>CONCATENATE(A13783,C13783)</f>
        <v>Фестивальная ул., дом 41 к.3 кв. 11</v>
      </c>
      <c r="E13783" s="3">
        <f>HYPERLINK("https://sao.dolgi.msk.ru/account/1404218932/", 1404218932)</f>
        <v>1404218932</v>
      </c>
      <c r="F13783">
        <v>1163.98</v>
      </c>
    </row>
    <row r="13784" spans="1:6" hidden="1" x14ac:dyDescent="0.25">
      <c r="A13784" t="s">
        <v>719</v>
      </c>
      <c r="B13784" t="s">
        <v>16</v>
      </c>
      <c r="E13784" s="3">
        <f>HYPERLINK("https://sao.dolgi.msk.ru/account/1404219927/", 1404219927)</f>
        <v>1404219927</v>
      </c>
      <c r="F13784">
        <v>-3980.44</v>
      </c>
    </row>
    <row r="13785" spans="1:6" hidden="1" x14ac:dyDescent="0.25">
      <c r="A13785" t="s">
        <v>719</v>
      </c>
      <c r="B13785" t="s">
        <v>17</v>
      </c>
      <c r="E13785" s="3">
        <f>HYPERLINK("https://sao.dolgi.msk.ru/account/1404220709/", 1404220709)</f>
        <v>1404220709</v>
      </c>
      <c r="F13785">
        <v>-2671.55</v>
      </c>
    </row>
    <row r="13786" spans="1:6" hidden="1" x14ac:dyDescent="0.25">
      <c r="A13786" t="s">
        <v>719</v>
      </c>
      <c r="B13786" t="s">
        <v>18</v>
      </c>
      <c r="E13786" s="3">
        <f>HYPERLINK("https://sao.dolgi.msk.ru/account/1404221373/", 1404221373)</f>
        <v>1404221373</v>
      </c>
      <c r="F13786">
        <v>-3466.55</v>
      </c>
    </row>
    <row r="13787" spans="1:6" hidden="1" x14ac:dyDescent="0.25">
      <c r="A13787" t="s">
        <v>719</v>
      </c>
      <c r="B13787" t="s">
        <v>19</v>
      </c>
      <c r="E13787" s="3">
        <f>HYPERLINK("https://sao.dolgi.msk.ru/account/1404218916/", 1404218916)</f>
        <v>1404218916</v>
      </c>
      <c r="F13787">
        <v>-2477.4299999999998</v>
      </c>
    </row>
    <row r="13788" spans="1:6" hidden="1" x14ac:dyDescent="0.25">
      <c r="A13788" t="s">
        <v>719</v>
      </c>
      <c r="B13788" t="s">
        <v>20</v>
      </c>
      <c r="E13788" s="3">
        <f>HYPERLINK("https://sao.dolgi.msk.ru/account/1404219708/", 1404219708)</f>
        <v>1404219708</v>
      </c>
      <c r="F13788">
        <v>-1710.17</v>
      </c>
    </row>
    <row r="13789" spans="1:6" x14ac:dyDescent="0.25">
      <c r="A13789" t="s">
        <v>719</v>
      </c>
      <c r="B13789" t="s">
        <v>21</v>
      </c>
      <c r="C13789" s="5" t="str">
        <f t="shared" ref="C13789:C13790" si="553">" кв. "&amp;B13789</f>
        <v xml:space="preserve"> кв. 17</v>
      </c>
      <c r="D13789" s="5" t="str">
        <f>CONCATENATE(A13789,C13789)</f>
        <v>Фестивальная ул., дом 41 к.3 кв. 17</v>
      </c>
      <c r="E13789" s="3">
        <f>HYPERLINK("https://sao.dolgi.msk.ru/account/1404218692/", 1404218692)</f>
        <v>1404218692</v>
      </c>
      <c r="F13789">
        <v>1135.51</v>
      </c>
    </row>
    <row r="13790" spans="1:6" x14ac:dyDescent="0.25">
      <c r="A13790" t="s">
        <v>719</v>
      </c>
      <c r="B13790" t="s">
        <v>22</v>
      </c>
      <c r="C13790" s="5" t="str">
        <f t="shared" si="553"/>
        <v xml:space="preserve"> кв. 18</v>
      </c>
      <c r="D13790" s="5" t="str">
        <f>CONCATENATE(A13790,C13790)</f>
        <v>Фестивальная ул., дом 41 к.3 кв. 18</v>
      </c>
      <c r="E13790" s="3">
        <f>HYPERLINK("https://sao.dolgi.msk.ru/account/1404219732/", 1404219732)</f>
        <v>1404219732</v>
      </c>
      <c r="F13790">
        <v>1837.7</v>
      </c>
    </row>
    <row r="13791" spans="1:6" hidden="1" x14ac:dyDescent="0.25">
      <c r="A13791" t="s">
        <v>719</v>
      </c>
      <c r="B13791" t="s">
        <v>23</v>
      </c>
      <c r="E13791" s="3">
        <f>HYPERLINK("https://sao.dolgi.msk.ru/account/1404219062/", 1404219062)</f>
        <v>1404219062</v>
      </c>
      <c r="F13791">
        <v>-2371.8000000000002</v>
      </c>
    </row>
    <row r="13792" spans="1:6" hidden="1" x14ac:dyDescent="0.25">
      <c r="A13792" t="s">
        <v>719</v>
      </c>
      <c r="B13792" t="s">
        <v>24</v>
      </c>
      <c r="E13792" s="3">
        <f>HYPERLINK("https://sao.dolgi.msk.ru/account/1404218684/", 1404218684)</f>
        <v>1404218684</v>
      </c>
      <c r="F13792">
        <v>-2477.4299999999998</v>
      </c>
    </row>
    <row r="13793" spans="1:6" hidden="1" x14ac:dyDescent="0.25">
      <c r="A13793" t="s">
        <v>719</v>
      </c>
      <c r="B13793" t="s">
        <v>25</v>
      </c>
      <c r="E13793" s="3">
        <f>HYPERLINK("https://sao.dolgi.msk.ru/account/1404220725/", 1404220725)</f>
        <v>1404220725</v>
      </c>
      <c r="F13793">
        <v>-1705.55</v>
      </c>
    </row>
    <row r="13794" spans="1:6" hidden="1" x14ac:dyDescent="0.25">
      <c r="A13794" t="s">
        <v>719</v>
      </c>
      <c r="B13794" t="s">
        <v>26</v>
      </c>
      <c r="E13794" s="3">
        <f>HYPERLINK("https://sao.dolgi.msk.ru/account/1404221234/", 1404221234)</f>
        <v>1404221234</v>
      </c>
      <c r="F13794">
        <v>-2051.36</v>
      </c>
    </row>
    <row r="13795" spans="1:6" x14ac:dyDescent="0.25">
      <c r="A13795" t="s">
        <v>719</v>
      </c>
      <c r="B13795" t="s">
        <v>27</v>
      </c>
      <c r="C13795" s="5" t="str">
        <f>" кв. "&amp;B13795</f>
        <v xml:space="preserve"> кв. 23</v>
      </c>
      <c r="D13795" s="5" t="str">
        <f>CONCATENATE(A13795,C13795)</f>
        <v>Фестивальная ул., дом 41 к.3 кв. 23</v>
      </c>
      <c r="E13795" s="3">
        <f>HYPERLINK("https://sao.dolgi.msk.ru/account/1404219951/", 1404219951)</f>
        <v>1404219951</v>
      </c>
      <c r="F13795">
        <v>1831.38</v>
      </c>
    </row>
    <row r="13796" spans="1:6" hidden="1" x14ac:dyDescent="0.25">
      <c r="A13796" t="s">
        <v>719</v>
      </c>
      <c r="B13796" t="s">
        <v>28</v>
      </c>
      <c r="E13796" s="3">
        <f>HYPERLINK("https://sao.dolgi.msk.ru/account/1404220493/", 1404220493)</f>
        <v>1404220493</v>
      </c>
      <c r="F13796">
        <v>0</v>
      </c>
    </row>
    <row r="13797" spans="1:6" x14ac:dyDescent="0.25">
      <c r="A13797" t="s">
        <v>719</v>
      </c>
      <c r="B13797" t="s">
        <v>29</v>
      </c>
      <c r="C13797" s="5" t="str">
        <f t="shared" ref="C13797:C13799" si="554">" кв. "&amp;B13797</f>
        <v xml:space="preserve"> кв. 25</v>
      </c>
      <c r="D13797" s="5" t="str">
        <f>CONCATENATE(A13797,C13797)</f>
        <v>Фестивальная ул., дом 41 к.3 кв. 25</v>
      </c>
      <c r="E13797" s="3">
        <f>HYPERLINK("https://sao.dolgi.msk.ru/account/1404219353/", 1404219353)</f>
        <v>1404219353</v>
      </c>
      <c r="F13797">
        <v>1717.51</v>
      </c>
    </row>
    <row r="13798" spans="1:6" x14ac:dyDescent="0.25">
      <c r="A13798" t="s">
        <v>719</v>
      </c>
      <c r="B13798" t="s">
        <v>30</v>
      </c>
      <c r="C13798" s="5" t="str">
        <f t="shared" si="554"/>
        <v xml:space="preserve"> кв. 26</v>
      </c>
      <c r="D13798" s="5" t="str">
        <f>CONCATENATE(A13798,C13798)</f>
        <v>Фестивальная ул., дом 41 к.3 кв. 26</v>
      </c>
      <c r="E13798" s="3">
        <f>HYPERLINK("https://sao.dolgi.msk.ru/account/1404218764/", 1404218764)</f>
        <v>1404218764</v>
      </c>
      <c r="F13798">
        <v>1163.98</v>
      </c>
    </row>
    <row r="13799" spans="1:6" x14ac:dyDescent="0.25">
      <c r="A13799" t="s">
        <v>719</v>
      </c>
      <c r="B13799" t="s">
        <v>31</v>
      </c>
      <c r="C13799" s="5" t="str">
        <f t="shared" si="554"/>
        <v xml:space="preserve"> кв. 27</v>
      </c>
      <c r="D13799" s="5" t="str">
        <f>CONCATENATE(A13799,C13799)</f>
        <v>Фестивальная ул., дом 41 к.3 кв. 27</v>
      </c>
      <c r="E13799" s="3">
        <f>HYPERLINK("https://sao.dolgi.msk.ru/account/1404220733/", 1404220733)</f>
        <v>1404220733</v>
      </c>
      <c r="F13799">
        <v>1657.41</v>
      </c>
    </row>
    <row r="13800" spans="1:6" hidden="1" x14ac:dyDescent="0.25">
      <c r="A13800" t="s">
        <v>719</v>
      </c>
      <c r="B13800" t="s">
        <v>32</v>
      </c>
      <c r="E13800" s="3">
        <f>HYPERLINK("https://sao.dolgi.msk.ru/account/1404218545/", 1404218545)</f>
        <v>1404218545</v>
      </c>
      <c r="F13800">
        <v>-840.42</v>
      </c>
    </row>
    <row r="13801" spans="1:6" hidden="1" x14ac:dyDescent="0.25">
      <c r="A13801" t="s">
        <v>719</v>
      </c>
      <c r="B13801" t="s">
        <v>33</v>
      </c>
      <c r="E13801" s="3">
        <f>HYPERLINK("https://sao.dolgi.msk.ru/account/1404220119/", 1404220119)</f>
        <v>1404220119</v>
      </c>
      <c r="F13801">
        <v>-3452.68</v>
      </c>
    </row>
    <row r="13802" spans="1:6" hidden="1" x14ac:dyDescent="0.25">
      <c r="A13802" t="s">
        <v>719</v>
      </c>
      <c r="B13802" t="s">
        <v>34</v>
      </c>
      <c r="E13802" s="3">
        <f>HYPERLINK("https://sao.dolgi.msk.ru/account/1404220151/", 1404220151)</f>
        <v>1404220151</v>
      </c>
      <c r="F13802">
        <v>-12514.78</v>
      </c>
    </row>
    <row r="13803" spans="1:6" x14ac:dyDescent="0.25">
      <c r="A13803" t="s">
        <v>719</v>
      </c>
      <c r="B13803" t="s">
        <v>35</v>
      </c>
      <c r="C13803" s="5" t="str">
        <f>" кв. "&amp;B13803</f>
        <v xml:space="preserve"> кв. 31</v>
      </c>
      <c r="D13803" s="5" t="str">
        <f>CONCATENATE(A13803,C13803)</f>
        <v>Фестивальная ул., дом 41 к.3 кв. 31</v>
      </c>
      <c r="E13803" s="3">
        <f>HYPERLINK("https://sao.dolgi.msk.ru/account/1404220741/", 1404220741)</f>
        <v>1404220741</v>
      </c>
      <c r="F13803">
        <v>1163.98</v>
      </c>
    </row>
    <row r="13804" spans="1:6" hidden="1" x14ac:dyDescent="0.25">
      <c r="A13804" t="s">
        <v>719</v>
      </c>
      <c r="B13804" t="s">
        <v>36</v>
      </c>
      <c r="E13804" s="3">
        <f>HYPERLINK("https://sao.dolgi.msk.ru/account/1404220063/", 1404220063)</f>
        <v>1404220063</v>
      </c>
      <c r="F13804">
        <v>-2412.73</v>
      </c>
    </row>
    <row r="13805" spans="1:6" hidden="1" x14ac:dyDescent="0.25">
      <c r="A13805" t="s">
        <v>719</v>
      </c>
      <c r="B13805" t="s">
        <v>37</v>
      </c>
      <c r="E13805" s="3">
        <f>HYPERLINK("https://sao.dolgi.msk.ru/account/1404219089/", 1404219089)</f>
        <v>1404219089</v>
      </c>
      <c r="F13805">
        <v>-1927.41</v>
      </c>
    </row>
    <row r="13806" spans="1:6" hidden="1" x14ac:dyDescent="0.25">
      <c r="A13806" t="s">
        <v>719</v>
      </c>
      <c r="B13806" t="s">
        <v>38</v>
      </c>
      <c r="E13806" s="3">
        <f>HYPERLINK("https://sao.dolgi.msk.ru/account/1404220469/", 1404220469)</f>
        <v>1404220469</v>
      </c>
      <c r="F13806">
        <v>0</v>
      </c>
    </row>
    <row r="13807" spans="1:6" hidden="1" x14ac:dyDescent="0.25">
      <c r="A13807" t="s">
        <v>719</v>
      </c>
      <c r="B13807" t="s">
        <v>39</v>
      </c>
      <c r="E13807" s="3">
        <f>HYPERLINK("https://sao.dolgi.msk.ru/account/1404220696/", 1404220696)</f>
        <v>1404220696</v>
      </c>
      <c r="F13807">
        <v>-1714.79</v>
      </c>
    </row>
    <row r="13808" spans="1:6" hidden="1" x14ac:dyDescent="0.25">
      <c r="A13808" t="s">
        <v>719</v>
      </c>
      <c r="B13808" t="s">
        <v>40</v>
      </c>
      <c r="E13808" s="3">
        <f>HYPERLINK("https://sao.dolgi.msk.ru/account/1404219337/", 1404219337)</f>
        <v>1404219337</v>
      </c>
      <c r="F13808">
        <v>-1705.55</v>
      </c>
    </row>
    <row r="13809" spans="1:6" hidden="1" x14ac:dyDescent="0.25">
      <c r="A13809" t="s">
        <v>719</v>
      </c>
      <c r="B13809" t="s">
        <v>41</v>
      </c>
      <c r="E13809" s="3">
        <f>HYPERLINK("https://sao.dolgi.msk.ru/account/1404219863/", 1404219863)</f>
        <v>1404219863</v>
      </c>
      <c r="F13809">
        <v>-2239.34</v>
      </c>
    </row>
    <row r="13810" spans="1:6" hidden="1" x14ac:dyDescent="0.25">
      <c r="A13810" t="s">
        <v>719</v>
      </c>
      <c r="B13810" t="s">
        <v>42</v>
      </c>
      <c r="E13810" s="3">
        <f>HYPERLINK("https://sao.dolgi.msk.ru/account/1404220952/", 1404220952)</f>
        <v>1404220952</v>
      </c>
      <c r="F13810">
        <v>-2680.8</v>
      </c>
    </row>
    <row r="13811" spans="1:6" x14ac:dyDescent="0.25">
      <c r="A13811" t="s">
        <v>719</v>
      </c>
      <c r="B13811" t="s">
        <v>43</v>
      </c>
      <c r="C13811" s="5" t="str">
        <f>" кв. "&amp;B13811</f>
        <v xml:space="preserve"> кв. 39</v>
      </c>
      <c r="D13811" s="5" t="str">
        <f>CONCATENATE(A13811,C13811)</f>
        <v>Фестивальная ул., дом 41 к.3 кв. 39</v>
      </c>
      <c r="E13811" s="3">
        <f>HYPERLINK("https://sao.dolgi.msk.ru/account/1404221103/", 1404221103)</f>
        <v>1404221103</v>
      </c>
      <c r="F13811">
        <v>1184.55</v>
      </c>
    </row>
    <row r="13812" spans="1:6" hidden="1" x14ac:dyDescent="0.25">
      <c r="A13812" t="s">
        <v>719</v>
      </c>
      <c r="B13812" t="s">
        <v>44</v>
      </c>
      <c r="E13812" s="3">
        <f>HYPERLINK("https://sao.dolgi.msk.ru/account/1404221242/", 1404221242)</f>
        <v>1404221242</v>
      </c>
      <c r="F13812">
        <v>0</v>
      </c>
    </row>
    <row r="13813" spans="1:6" x14ac:dyDescent="0.25">
      <c r="A13813" t="s">
        <v>719</v>
      </c>
      <c r="B13813" t="s">
        <v>45</v>
      </c>
      <c r="C13813" s="5" t="str">
        <f>" кв. "&amp;B13813</f>
        <v xml:space="preserve"> кв. 41</v>
      </c>
      <c r="D13813" s="5" t="str">
        <f>CONCATENATE(A13813,C13813)</f>
        <v>Фестивальная ул., дом 41 к.3 кв. 41</v>
      </c>
      <c r="E13813" s="3">
        <f>HYPERLINK("https://sao.dolgi.msk.ru/account/1404220805/", 1404220805)</f>
        <v>1404220805</v>
      </c>
      <c r="F13813">
        <v>1167.1500000000001</v>
      </c>
    </row>
    <row r="13814" spans="1:6" hidden="1" x14ac:dyDescent="0.25">
      <c r="A13814" t="s">
        <v>719</v>
      </c>
      <c r="B13814" t="s">
        <v>46</v>
      </c>
      <c r="E13814" s="3">
        <f>HYPERLINK("https://sao.dolgi.msk.ru/account/1404221031/", 1404221031)</f>
        <v>1404221031</v>
      </c>
      <c r="F13814">
        <v>0</v>
      </c>
    </row>
    <row r="13815" spans="1:6" hidden="1" x14ac:dyDescent="0.25">
      <c r="A13815" t="s">
        <v>719</v>
      </c>
      <c r="B13815" t="s">
        <v>47</v>
      </c>
      <c r="E13815" s="3">
        <f>HYPERLINK("https://sao.dolgi.msk.ru/account/1404219839/", 1404219839)</f>
        <v>1404219839</v>
      </c>
      <c r="F13815">
        <v>0</v>
      </c>
    </row>
    <row r="13816" spans="1:6" x14ac:dyDescent="0.25">
      <c r="A13816" t="s">
        <v>719</v>
      </c>
      <c r="B13816" t="s">
        <v>48</v>
      </c>
      <c r="C13816" s="5" t="str">
        <f>" кв. "&amp;B13816</f>
        <v xml:space="preserve"> кв. 44</v>
      </c>
      <c r="D13816" s="5" t="str">
        <f>CONCATENATE(A13816,C13816)</f>
        <v>Фестивальная ул., дом 41 к.3 кв. 44</v>
      </c>
      <c r="E13816" s="3">
        <f>HYPERLINK("https://sao.dolgi.msk.ru/account/1404220258/", 1404220258)</f>
        <v>1404220258</v>
      </c>
      <c r="F13816">
        <v>2356.44</v>
      </c>
    </row>
    <row r="13817" spans="1:6" hidden="1" x14ac:dyDescent="0.25">
      <c r="A13817" t="s">
        <v>719</v>
      </c>
      <c r="B13817" t="s">
        <v>49</v>
      </c>
      <c r="E13817" s="3">
        <f>HYPERLINK("https://sao.dolgi.msk.ru/account/1404219943/", 1404219943)</f>
        <v>1404219943</v>
      </c>
      <c r="F13817">
        <v>-2094.19</v>
      </c>
    </row>
    <row r="13818" spans="1:6" hidden="1" x14ac:dyDescent="0.25">
      <c r="A13818" t="s">
        <v>719</v>
      </c>
      <c r="B13818" t="s">
        <v>50</v>
      </c>
      <c r="E13818" s="3">
        <f>HYPERLINK("https://sao.dolgi.msk.ru/account/1404220127/", 1404220127)</f>
        <v>1404220127</v>
      </c>
      <c r="F13818">
        <v>-1691.68</v>
      </c>
    </row>
    <row r="13819" spans="1:6" x14ac:dyDescent="0.25">
      <c r="A13819" t="s">
        <v>719</v>
      </c>
      <c r="B13819" t="s">
        <v>51</v>
      </c>
      <c r="C13819" s="5" t="str">
        <f>" кв. "&amp;B13819</f>
        <v xml:space="preserve"> кв. 47</v>
      </c>
      <c r="D13819" s="5" t="str">
        <f>CONCATENATE(A13819,C13819)</f>
        <v>Фестивальная ул., дом 41 к.3 кв. 47</v>
      </c>
      <c r="E13819" s="3">
        <f>HYPERLINK("https://sao.dolgi.msk.ru/account/1404220661/", 1404220661)</f>
        <v>1404220661</v>
      </c>
      <c r="F13819">
        <v>1654.25</v>
      </c>
    </row>
    <row r="13820" spans="1:6" hidden="1" x14ac:dyDescent="0.25">
      <c r="A13820" t="s">
        <v>719</v>
      </c>
      <c r="B13820" t="s">
        <v>52</v>
      </c>
      <c r="E13820" s="3">
        <f>HYPERLINK("https://sao.dolgi.msk.ru/account/1404220354/", 1404220354)</f>
        <v>1404220354</v>
      </c>
      <c r="F13820">
        <v>-2685.42</v>
      </c>
    </row>
    <row r="13821" spans="1:6" x14ac:dyDescent="0.25">
      <c r="A13821" t="s">
        <v>719</v>
      </c>
      <c r="B13821" t="s">
        <v>53</v>
      </c>
      <c r="C13821" s="5" t="str">
        <f>" кв. "&amp;B13821</f>
        <v xml:space="preserve"> кв. 49</v>
      </c>
      <c r="D13821" s="5" t="str">
        <f>CONCATENATE(A13821,C13821)</f>
        <v>Фестивальная ул., дом 41 к.3 кв. 49</v>
      </c>
      <c r="E13821" s="3">
        <f>HYPERLINK("https://sao.dolgi.msk.ru/account/1404221437/", 1404221437)</f>
        <v>1404221437</v>
      </c>
      <c r="F13821">
        <v>2362.7600000000002</v>
      </c>
    </row>
    <row r="13822" spans="1:6" hidden="1" x14ac:dyDescent="0.25">
      <c r="A13822" t="s">
        <v>719</v>
      </c>
      <c r="B13822" t="s">
        <v>54</v>
      </c>
      <c r="E13822" s="3">
        <f>HYPERLINK("https://sao.dolgi.msk.ru/account/1404219695/", 1404219695)</f>
        <v>1404219695</v>
      </c>
      <c r="F13822">
        <v>-2463.56</v>
      </c>
    </row>
    <row r="13823" spans="1:6" hidden="1" x14ac:dyDescent="0.25">
      <c r="A13823" t="s">
        <v>719</v>
      </c>
      <c r="B13823" t="s">
        <v>55</v>
      </c>
      <c r="E13823" s="3">
        <f>HYPERLINK("https://sao.dolgi.msk.ru/account/1404220477/", 1404220477)</f>
        <v>1404220477</v>
      </c>
      <c r="F13823">
        <v>-1682.43</v>
      </c>
    </row>
    <row r="13824" spans="1:6" hidden="1" x14ac:dyDescent="0.25">
      <c r="A13824" t="s">
        <v>719</v>
      </c>
      <c r="B13824" t="s">
        <v>56</v>
      </c>
      <c r="E13824" s="3">
        <f>HYPERLINK("https://sao.dolgi.msk.ru/account/1404220928/", 1404220928)</f>
        <v>1404220928</v>
      </c>
      <c r="F13824">
        <v>0</v>
      </c>
    </row>
    <row r="13825" spans="1:6" x14ac:dyDescent="0.25">
      <c r="A13825" t="s">
        <v>719</v>
      </c>
      <c r="B13825" t="s">
        <v>57</v>
      </c>
      <c r="C13825" s="5" t="str">
        <f t="shared" ref="C13825:C13826" si="555">" кв. "&amp;B13825</f>
        <v xml:space="preserve"> кв. 53</v>
      </c>
      <c r="D13825" s="5" t="str">
        <f>CONCATENATE(A13825,C13825)</f>
        <v>Фестивальная ул., дом 41 к.3 кв. 53</v>
      </c>
      <c r="E13825" s="3">
        <f>HYPERLINK("https://sao.dolgi.msk.ru/account/1404219118/", 1404219118)</f>
        <v>1404219118</v>
      </c>
      <c r="F13825">
        <v>1844.03</v>
      </c>
    </row>
    <row r="13826" spans="1:6" x14ac:dyDescent="0.25">
      <c r="A13826" t="s">
        <v>719</v>
      </c>
      <c r="B13826" t="s">
        <v>58</v>
      </c>
      <c r="C13826" s="5" t="str">
        <f t="shared" si="555"/>
        <v xml:space="preserve"> кв. 54</v>
      </c>
      <c r="D13826" s="5" t="str">
        <f>CONCATENATE(A13826,C13826)</f>
        <v>Фестивальная ул., дом 41 к.3 кв. 54</v>
      </c>
      <c r="E13826" s="3">
        <f>HYPERLINK("https://sao.dolgi.msk.ru/account/1404219126/", 1404219126)</f>
        <v>1404219126</v>
      </c>
      <c r="F13826">
        <v>2350.11</v>
      </c>
    </row>
    <row r="13827" spans="1:6" hidden="1" x14ac:dyDescent="0.25">
      <c r="A13827" t="s">
        <v>719</v>
      </c>
      <c r="B13827" t="s">
        <v>59</v>
      </c>
      <c r="E13827" s="3">
        <f>HYPERLINK("https://sao.dolgi.msk.ru/account/1404218801/", 1404218801)</f>
        <v>1404218801</v>
      </c>
      <c r="F13827">
        <v>-2463.56</v>
      </c>
    </row>
    <row r="13828" spans="1:6" hidden="1" x14ac:dyDescent="0.25">
      <c r="A13828" t="s">
        <v>719</v>
      </c>
      <c r="B13828" t="s">
        <v>60</v>
      </c>
      <c r="E13828" s="3">
        <f>HYPERLINK("https://sao.dolgi.msk.ru/account/1404219425/", 1404219425)</f>
        <v>1404219425</v>
      </c>
      <c r="F13828">
        <v>-1696.3</v>
      </c>
    </row>
    <row r="13829" spans="1:6" hidden="1" x14ac:dyDescent="0.25">
      <c r="A13829" t="s">
        <v>719</v>
      </c>
      <c r="B13829" t="s">
        <v>61</v>
      </c>
      <c r="E13829" s="3">
        <f>HYPERLINK("https://sao.dolgi.msk.ru/account/1404218596/", 1404218596)</f>
        <v>1404218596</v>
      </c>
      <c r="F13829">
        <v>0</v>
      </c>
    </row>
    <row r="13830" spans="1:6" hidden="1" x14ac:dyDescent="0.25">
      <c r="A13830" t="s">
        <v>719</v>
      </c>
      <c r="B13830" t="s">
        <v>62</v>
      </c>
      <c r="E13830" s="3">
        <f>HYPERLINK("https://sao.dolgi.msk.ru/account/1404219521/", 1404219521)</f>
        <v>1404219521</v>
      </c>
      <c r="F13830">
        <v>-2676.18</v>
      </c>
    </row>
    <row r="13831" spans="1:6" hidden="1" x14ac:dyDescent="0.25">
      <c r="A13831" t="s">
        <v>719</v>
      </c>
      <c r="B13831" t="s">
        <v>63</v>
      </c>
      <c r="E13831" s="3">
        <f>HYPERLINK("https://sao.dolgi.msk.ru/account/1404221154/", 1404221154)</f>
        <v>1404221154</v>
      </c>
      <c r="F13831">
        <v>-370.58</v>
      </c>
    </row>
    <row r="13832" spans="1:6" hidden="1" x14ac:dyDescent="0.25">
      <c r="A13832" t="s">
        <v>719</v>
      </c>
      <c r="B13832" t="s">
        <v>63</v>
      </c>
      <c r="E13832" s="3">
        <f>HYPERLINK("https://sao.dolgi.msk.ru/account/1404293721/", 1404293721)</f>
        <v>1404293721</v>
      </c>
      <c r="F13832">
        <v>0</v>
      </c>
    </row>
    <row r="13833" spans="1:6" hidden="1" x14ac:dyDescent="0.25">
      <c r="A13833" t="s">
        <v>719</v>
      </c>
      <c r="B13833" t="s">
        <v>63</v>
      </c>
      <c r="E13833" s="3">
        <f>HYPERLINK("https://sao.dolgi.msk.ru/account/1404293748/", 1404293748)</f>
        <v>1404293748</v>
      </c>
      <c r="F13833">
        <v>-1919.1</v>
      </c>
    </row>
    <row r="13834" spans="1:6" hidden="1" x14ac:dyDescent="0.25">
      <c r="A13834" t="s">
        <v>719</v>
      </c>
      <c r="B13834" t="s">
        <v>64</v>
      </c>
      <c r="E13834" s="3">
        <f>HYPERLINK("https://sao.dolgi.msk.ru/account/1404221429/", 1404221429)</f>
        <v>1404221429</v>
      </c>
      <c r="F13834">
        <v>-2454.31</v>
      </c>
    </row>
    <row r="13835" spans="1:6" hidden="1" x14ac:dyDescent="0.25">
      <c r="A13835" t="s">
        <v>719</v>
      </c>
      <c r="B13835" t="s">
        <v>65</v>
      </c>
      <c r="E13835" s="3">
        <f>HYPERLINK("https://sao.dolgi.msk.ru/account/1404220071/", 1404220071)</f>
        <v>1404220071</v>
      </c>
      <c r="F13835">
        <v>0</v>
      </c>
    </row>
    <row r="13836" spans="1:6" hidden="1" x14ac:dyDescent="0.25">
      <c r="A13836" t="s">
        <v>719</v>
      </c>
      <c r="B13836" t="s">
        <v>66</v>
      </c>
      <c r="E13836" s="3">
        <f>HYPERLINK("https://sao.dolgi.msk.ru/account/1404221197/", 1404221197)</f>
        <v>1404221197</v>
      </c>
      <c r="F13836">
        <v>-2408.1</v>
      </c>
    </row>
    <row r="13837" spans="1:6" hidden="1" x14ac:dyDescent="0.25">
      <c r="A13837" t="s">
        <v>719</v>
      </c>
      <c r="B13837" t="s">
        <v>67</v>
      </c>
      <c r="E13837" s="3">
        <f>HYPERLINK("https://sao.dolgi.msk.ru/account/1404221269/", 1404221269)</f>
        <v>1404221269</v>
      </c>
      <c r="F13837">
        <v>-2662.31</v>
      </c>
    </row>
    <row r="13838" spans="1:6" x14ac:dyDescent="0.25">
      <c r="A13838" t="s">
        <v>719</v>
      </c>
      <c r="B13838" t="s">
        <v>68</v>
      </c>
      <c r="C13838" s="5" t="str">
        <f>" кв. "&amp;B13838</f>
        <v xml:space="preserve"> кв. 64</v>
      </c>
      <c r="D13838" s="5" t="str">
        <f>CONCATENATE(A13838,C13838)</f>
        <v>Фестивальная ул., дом 41 к.3 кв. 64</v>
      </c>
      <c r="E13838" s="3">
        <f>HYPERLINK("https://sao.dolgi.msk.ru/account/1404219409/", 1404219409)</f>
        <v>1404219409</v>
      </c>
      <c r="F13838">
        <v>1515.08</v>
      </c>
    </row>
    <row r="13839" spans="1:6" hidden="1" x14ac:dyDescent="0.25">
      <c r="A13839" t="s">
        <v>719</v>
      </c>
      <c r="B13839" t="s">
        <v>69</v>
      </c>
      <c r="E13839" s="3">
        <f>HYPERLINK("https://sao.dolgi.msk.ru/account/1404218676/", 1404218676)</f>
        <v>1404218676</v>
      </c>
      <c r="F13839">
        <v>-1710.17</v>
      </c>
    </row>
    <row r="13840" spans="1:6" hidden="1" x14ac:dyDescent="0.25">
      <c r="A13840" t="s">
        <v>719</v>
      </c>
      <c r="B13840" t="s">
        <v>70</v>
      </c>
      <c r="E13840" s="3">
        <f>HYPERLINK("https://sao.dolgi.msk.ru/account/1404220223/", 1404220223)</f>
        <v>1404220223</v>
      </c>
      <c r="F13840">
        <v>-1687.06</v>
      </c>
    </row>
    <row r="13841" spans="1:6" hidden="1" x14ac:dyDescent="0.25">
      <c r="A13841" t="s">
        <v>719</v>
      </c>
      <c r="B13841" t="s">
        <v>71</v>
      </c>
      <c r="E13841" s="3">
        <f>HYPERLINK("https://sao.dolgi.msk.ru/account/1404220653/", 1404220653)</f>
        <v>1404220653</v>
      </c>
      <c r="F13841">
        <v>-2403.48</v>
      </c>
    </row>
    <row r="13842" spans="1:6" hidden="1" x14ac:dyDescent="0.25">
      <c r="A13842" t="s">
        <v>719</v>
      </c>
      <c r="B13842" t="s">
        <v>72</v>
      </c>
      <c r="E13842" s="3">
        <f>HYPERLINK("https://sao.dolgi.msk.ru/account/1404219185/", 1404219185)</f>
        <v>1404219185</v>
      </c>
      <c r="F13842">
        <v>-2666.93</v>
      </c>
    </row>
    <row r="13843" spans="1:6" hidden="1" x14ac:dyDescent="0.25">
      <c r="A13843" t="s">
        <v>719</v>
      </c>
      <c r="B13843" t="s">
        <v>73</v>
      </c>
      <c r="E13843" s="3">
        <f>HYPERLINK("https://sao.dolgi.msk.ru/account/1404219978/", 1404219978)</f>
        <v>1404219978</v>
      </c>
      <c r="F13843">
        <v>-2703.91</v>
      </c>
    </row>
    <row r="13844" spans="1:6" hidden="1" x14ac:dyDescent="0.25">
      <c r="A13844" t="s">
        <v>719</v>
      </c>
      <c r="B13844" t="s">
        <v>74</v>
      </c>
      <c r="E13844" s="3">
        <f>HYPERLINK("https://sao.dolgi.msk.ru/account/1404220768/", 1404220768)</f>
        <v>1404220768</v>
      </c>
      <c r="F13844">
        <v>0</v>
      </c>
    </row>
    <row r="13845" spans="1:6" x14ac:dyDescent="0.25">
      <c r="A13845" t="s">
        <v>719</v>
      </c>
      <c r="B13845" t="s">
        <v>75</v>
      </c>
      <c r="C13845" s="5" t="str">
        <f>" кв. "&amp;B13845</f>
        <v xml:space="preserve"> кв. 71</v>
      </c>
      <c r="D13845" s="5" t="str">
        <f>CONCATENATE(A13845,C13845)</f>
        <v>Фестивальная ул., дом 41 к.3 кв. 71</v>
      </c>
      <c r="E13845" s="3">
        <f>HYPERLINK("https://sao.dolgi.msk.ru/account/1404218713/", 1404218713)</f>
        <v>1404218713</v>
      </c>
      <c r="F13845">
        <v>1148.17</v>
      </c>
    </row>
    <row r="13846" spans="1:6" hidden="1" x14ac:dyDescent="0.25">
      <c r="A13846" t="s">
        <v>719</v>
      </c>
      <c r="B13846" t="s">
        <v>76</v>
      </c>
      <c r="E13846" s="3">
        <f>HYPERLINK("https://sao.dolgi.msk.ru/account/1404220012/", 1404220012)</f>
        <v>1404220012</v>
      </c>
      <c r="F13846">
        <v>-2412.73</v>
      </c>
    </row>
    <row r="13847" spans="1:6" hidden="1" x14ac:dyDescent="0.25">
      <c r="A13847" t="s">
        <v>719</v>
      </c>
      <c r="B13847" t="s">
        <v>77</v>
      </c>
      <c r="E13847" s="3">
        <f>HYPERLINK("https://sao.dolgi.msk.ru/account/1404221074/", 1404221074)</f>
        <v>1404221074</v>
      </c>
      <c r="F13847">
        <v>-2676.18</v>
      </c>
    </row>
    <row r="13848" spans="1:6" hidden="1" x14ac:dyDescent="0.25">
      <c r="A13848" t="s">
        <v>719</v>
      </c>
      <c r="B13848" t="s">
        <v>78</v>
      </c>
      <c r="E13848" s="3">
        <f>HYPERLINK("https://sao.dolgi.msk.ru/account/1404218772/", 1404218772)</f>
        <v>1404218772</v>
      </c>
      <c r="F13848">
        <v>-3461.93</v>
      </c>
    </row>
    <row r="13849" spans="1:6" hidden="1" x14ac:dyDescent="0.25">
      <c r="A13849" t="s">
        <v>719</v>
      </c>
      <c r="B13849" t="s">
        <v>79</v>
      </c>
      <c r="E13849" s="3">
        <f>HYPERLINK("https://sao.dolgi.msk.ru/account/1404220565/", 1404220565)</f>
        <v>1404220565</v>
      </c>
      <c r="F13849">
        <v>-4187.6000000000004</v>
      </c>
    </row>
    <row r="13850" spans="1:6" x14ac:dyDescent="0.25">
      <c r="A13850" t="s">
        <v>719</v>
      </c>
      <c r="B13850" t="s">
        <v>80</v>
      </c>
      <c r="C13850" s="5" t="str">
        <f>" кв. "&amp;B13850</f>
        <v xml:space="preserve"> кв. 76</v>
      </c>
      <c r="D13850" s="5" t="str">
        <f>CONCATENATE(A13850,C13850)</f>
        <v>Фестивальная ул., дом 41 к.3 кв. 76</v>
      </c>
      <c r="E13850" s="3">
        <f>HYPERLINK("https://sao.dolgi.msk.ru/account/1404219679/", 1404219679)</f>
        <v>1404219679</v>
      </c>
      <c r="F13850">
        <v>983.69</v>
      </c>
    </row>
    <row r="13851" spans="1:6" hidden="1" x14ac:dyDescent="0.25">
      <c r="A13851" t="s">
        <v>719</v>
      </c>
      <c r="B13851" t="s">
        <v>81</v>
      </c>
      <c r="E13851" s="3">
        <f>HYPERLINK("https://sao.dolgi.msk.ru/account/1404219572/", 1404219572)</f>
        <v>1404219572</v>
      </c>
      <c r="F13851">
        <v>-2232.1799999999998</v>
      </c>
    </row>
    <row r="13852" spans="1:6" hidden="1" x14ac:dyDescent="0.25">
      <c r="A13852" t="s">
        <v>719</v>
      </c>
      <c r="B13852" t="s">
        <v>82</v>
      </c>
      <c r="E13852" s="3">
        <f>HYPERLINK("https://sao.dolgi.msk.ru/account/1404218959/", 1404218959)</f>
        <v>1404218959</v>
      </c>
      <c r="F13852">
        <v>-3466.55</v>
      </c>
    </row>
    <row r="13853" spans="1:6" hidden="1" x14ac:dyDescent="0.25">
      <c r="A13853" t="s">
        <v>719</v>
      </c>
      <c r="B13853" t="s">
        <v>83</v>
      </c>
      <c r="E13853" s="3">
        <f>HYPERLINK("https://sao.dolgi.msk.ru/account/1404221218/", 1404221218)</f>
        <v>1404221218</v>
      </c>
      <c r="F13853">
        <v>-4210.71</v>
      </c>
    </row>
    <row r="13854" spans="1:6" x14ac:dyDescent="0.25">
      <c r="A13854" t="s">
        <v>719</v>
      </c>
      <c r="B13854" t="s">
        <v>84</v>
      </c>
      <c r="C13854" s="5" t="str">
        <f>" кв. "&amp;B13854</f>
        <v xml:space="preserve"> кв. 80</v>
      </c>
      <c r="D13854" s="5" t="str">
        <f>CONCATENATE(A13854,C13854)</f>
        <v>Фестивальная ул., дом 41 к.3 кв. 80</v>
      </c>
      <c r="E13854" s="3">
        <f>HYPERLINK("https://sao.dolgi.msk.ru/account/1404220039/", 1404220039)</f>
        <v>1404220039</v>
      </c>
      <c r="F13854">
        <v>1657.41</v>
      </c>
    </row>
    <row r="13855" spans="1:6" hidden="1" x14ac:dyDescent="0.25">
      <c r="A13855" t="s">
        <v>719</v>
      </c>
      <c r="B13855" t="s">
        <v>85</v>
      </c>
      <c r="E13855" s="3">
        <f>HYPERLINK("https://sao.dolgi.msk.ru/account/1404220629/", 1404220629)</f>
        <v>1404220629</v>
      </c>
      <c r="F13855">
        <v>-2242.09</v>
      </c>
    </row>
    <row r="13856" spans="1:6" hidden="1" x14ac:dyDescent="0.25">
      <c r="A13856" t="s">
        <v>719</v>
      </c>
      <c r="B13856" t="s">
        <v>86</v>
      </c>
      <c r="E13856" s="3">
        <f>HYPERLINK("https://sao.dolgi.msk.ru/account/1404219871/", 1404219871)</f>
        <v>1404219871</v>
      </c>
      <c r="F13856">
        <v>0</v>
      </c>
    </row>
    <row r="13857" spans="1:6" x14ac:dyDescent="0.25">
      <c r="A13857" t="s">
        <v>719</v>
      </c>
      <c r="B13857" t="s">
        <v>87</v>
      </c>
      <c r="C13857" s="5" t="str">
        <f>" кв. "&amp;B13857</f>
        <v xml:space="preserve"> кв. 83</v>
      </c>
      <c r="D13857" s="5" t="str">
        <f>CONCATENATE(A13857,C13857)</f>
        <v>Фестивальная ул., дом 41 к.3 кв. 83</v>
      </c>
      <c r="E13857" s="3">
        <f>HYPERLINK("https://sao.dolgi.msk.ru/account/1404219601/", 1404219601)</f>
        <v>1404219601</v>
      </c>
      <c r="F13857">
        <v>2868.84</v>
      </c>
    </row>
    <row r="13858" spans="1:6" hidden="1" x14ac:dyDescent="0.25">
      <c r="A13858" t="s">
        <v>719</v>
      </c>
      <c r="B13858" t="s">
        <v>88</v>
      </c>
      <c r="E13858" s="3">
        <f>HYPERLINK("https://sao.dolgi.msk.ru/account/1404218641/", 1404218641)</f>
        <v>1404218641</v>
      </c>
      <c r="F13858">
        <v>-2417.35</v>
      </c>
    </row>
    <row r="13859" spans="1:6" hidden="1" x14ac:dyDescent="0.25">
      <c r="A13859" t="s">
        <v>719</v>
      </c>
      <c r="B13859" t="s">
        <v>89</v>
      </c>
      <c r="E13859" s="3">
        <f>HYPERLINK("https://sao.dolgi.msk.ru/account/1404219265/", 1404219265)</f>
        <v>1404219265</v>
      </c>
      <c r="F13859">
        <v>-917.27</v>
      </c>
    </row>
    <row r="13860" spans="1:6" hidden="1" x14ac:dyDescent="0.25">
      <c r="A13860" t="s">
        <v>719</v>
      </c>
      <c r="B13860" t="s">
        <v>89</v>
      </c>
      <c r="E13860" s="3">
        <f>HYPERLINK("https://sao.dolgi.msk.ru/account/1404219759/", 1404219759)</f>
        <v>1404219759</v>
      </c>
      <c r="F13860">
        <v>-1340.39</v>
      </c>
    </row>
    <row r="13861" spans="1:6" hidden="1" x14ac:dyDescent="0.25">
      <c r="A13861" t="s">
        <v>719</v>
      </c>
      <c r="B13861" t="s">
        <v>90</v>
      </c>
      <c r="E13861" s="3">
        <f>HYPERLINK("https://sao.dolgi.msk.ru/account/1404221058/", 1404221058)</f>
        <v>1404221058</v>
      </c>
      <c r="F13861">
        <v>-3448.06</v>
      </c>
    </row>
    <row r="13862" spans="1:6" hidden="1" x14ac:dyDescent="0.25">
      <c r="A13862" t="s">
        <v>719</v>
      </c>
      <c r="B13862" t="s">
        <v>91</v>
      </c>
      <c r="E13862" s="3">
        <f>HYPERLINK("https://sao.dolgi.msk.ru/account/1404220581/", 1404220581)</f>
        <v>1404220581</v>
      </c>
      <c r="F13862">
        <v>-4178.3500000000004</v>
      </c>
    </row>
    <row r="13863" spans="1:6" hidden="1" x14ac:dyDescent="0.25">
      <c r="A13863" t="s">
        <v>719</v>
      </c>
      <c r="B13863" t="s">
        <v>92</v>
      </c>
      <c r="E13863" s="3">
        <f>HYPERLINK("https://sao.dolgi.msk.ru/account/1404220303/", 1404220303)</f>
        <v>1404220303</v>
      </c>
      <c r="F13863">
        <v>0</v>
      </c>
    </row>
    <row r="13864" spans="1:6" hidden="1" x14ac:dyDescent="0.25">
      <c r="A13864" t="s">
        <v>719</v>
      </c>
      <c r="B13864" t="s">
        <v>93</v>
      </c>
      <c r="E13864" s="3">
        <f>HYPERLINK("https://sao.dolgi.msk.ru/account/1404219054/", 1404219054)</f>
        <v>1404219054</v>
      </c>
      <c r="F13864">
        <v>-1769.34</v>
      </c>
    </row>
    <row r="13865" spans="1:6" hidden="1" x14ac:dyDescent="0.25">
      <c r="A13865" t="s">
        <v>719</v>
      </c>
      <c r="B13865" t="s">
        <v>93</v>
      </c>
      <c r="E13865" s="3">
        <f>HYPERLINK("https://sao.dolgi.msk.ru/account/1404219433/", 1404219433)</f>
        <v>1404219433</v>
      </c>
      <c r="F13865">
        <v>-911.46</v>
      </c>
    </row>
    <row r="13866" spans="1:6" hidden="1" x14ac:dyDescent="0.25">
      <c r="A13866" t="s">
        <v>719</v>
      </c>
      <c r="B13866" t="s">
        <v>94</v>
      </c>
      <c r="E13866" s="3">
        <f>HYPERLINK("https://sao.dolgi.msk.ru/account/1404219046/", 1404219046)</f>
        <v>1404219046</v>
      </c>
      <c r="F13866">
        <v>-847.72</v>
      </c>
    </row>
    <row r="13867" spans="1:6" hidden="1" x14ac:dyDescent="0.25">
      <c r="A13867" t="s">
        <v>719</v>
      </c>
      <c r="B13867" t="s">
        <v>95</v>
      </c>
      <c r="E13867" s="3">
        <f>HYPERLINK("https://sao.dolgi.msk.ru/account/1404221357/", 1404221357)</f>
        <v>1404221357</v>
      </c>
      <c r="F13867">
        <v>0</v>
      </c>
    </row>
    <row r="13868" spans="1:6" hidden="1" x14ac:dyDescent="0.25">
      <c r="A13868" t="s">
        <v>719</v>
      </c>
      <c r="B13868" t="s">
        <v>96</v>
      </c>
      <c r="E13868" s="3">
        <f>HYPERLINK("https://sao.dolgi.msk.ru/account/1404219134/", 1404219134)</f>
        <v>1404219134</v>
      </c>
      <c r="F13868">
        <v>0</v>
      </c>
    </row>
    <row r="13869" spans="1:6" x14ac:dyDescent="0.25">
      <c r="A13869" t="s">
        <v>719</v>
      </c>
      <c r="B13869" t="s">
        <v>97</v>
      </c>
      <c r="C13869" s="5" t="str">
        <f>" кв. "&amp;B13869</f>
        <v xml:space="preserve"> кв. 93</v>
      </c>
      <c r="D13869" s="5" t="str">
        <f>CONCATENATE(A13869,C13869)</f>
        <v>Фестивальная ул., дом 41 к.3 кв. 93</v>
      </c>
      <c r="E13869" s="3">
        <f>HYPERLINK("https://sao.dolgi.msk.ru/account/1404220506/", 1404220506)</f>
        <v>1404220506</v>
      </c>
      <c r="F13869">
        <v>1812.4</v>
      </c>
    </row>
    <row r="13870" spans="1:6" hidden="1" x14ac:dyDescent="0.25">
      <c r="A13870" t="s">
        <v>719</v>
      </c>
      <c r="B13870" t="s">
        <v>98</v>
      </c>
      <c r="E13870" s="3">
        <f>HYPERLINK("https://sao.dolgi.msk.ru/account/1404220995/", 1404220995)</f>
        <v>1404220995</v>
      </c>
      <c r="F13870">
        <v>-3595.97</v>
      </c>
    </row>
    <row r="13871" spans="1:6" hidden="1" x14ac:dyDescent="0.25">
      <c r="A13871" t="s">
        <v>719</v>
      </c>
      <c r="B13871" t="s">
        <v>99</v>
      </c>
      <c r="E13871" s="3">
        <f>HYPERLINK("https://sao.dolgi.msk.ru/account/1404219273/", 1404219273)</f>
        <v>1404219273</v>
      </c>
      <c r="F13871">
        <v>-1594.23</v>
      </c>
    </row>
    <row r="13872" spans="1:6" hidden="1" x14ac:dyDescent="0.25">
      <c r="A13872" t="s">
        <v>719</v>
      </c>
      <c r="B13872" t="s">
        <v>100</v>
      </c>
      <c r="E13872" s="3">
        <f>HYPERLINK("https://sao.dolgi.msk.ru/account/1404219417/", 1404219417)</f>
        <v>1404219417</v>
      </c>
      <c r="F13872">
        <v>0</v>
      </c>
    </row>
    <row r="13873" spans="1:6" x14ac:dyDescent="0.25">
      <c r="A13873" t="s">
        <v>719</v>
      </c>
      <c r="B13873" t="s">
        <v>101</v>
      </c>
      <c r="C13873" s="5" t="str">
        <f>" кв. "&amp;B13873</f>
        <v xml:space="preserve"> кв. 97</v>
      </c>
      <c r="D13873" s="5" t="str">
        <f>CONCATENATE(A13873,C13873)</f>
        <v>Фестивальная ул., дом 41 к.3 кв. 97</v>
      </c>
      <c r="E13873" s="3">
        <f>HYPERLINK("https://sao.dolgi.msk.ru/account/1404220522/", 1404220522)</f>
        <v>1404220522</v>
      </c>
      <c r="F13873">
        <v>1236.73</v>
      </c>
    </row>
    <row r="13874" spans="1:6" hidden="1" x14ac:dyDescent="0.25">
      <c r="A13874" t="s">
        <v>719</v>
      </c>
      <c r="B13874" t="s">
        <v>102</v>
      </c>
      <c r="E13874" s="3">
        <f>HYPERLINK("https://sao.dolgi.msk.ru/account/1404221314/", 1404221314)</f>
        <v>1404221314</v>
      </c>
      <c r="F13874">
        <v>-1677.81</v>
      </c>
    </row>
    <row r="13875" spans="1:6" hidden="1" x14ac:dyDescent="0.25">
      <c r="A13875" t="s">
        <v>719</v>
      </c>
      <c r="B13875" t="s">
        <v>103</v>
      </c>
      <c r="E13875" s="3">
        <f>HYPERLINK("https://sao.dolgi.msk.ru/account/1404219986/", 1404219986)</f>
        <v>1404219986</v>
      </c>
      <c r="F13875">
        <v>0</v>
      </c>
    </row>
    <row r="13876" spans="1:6" hidden="1" x14ac:dyDescent="0.25">
      <c r="A13876" t="s">
        <v>719</v>
      </c>
      <c r="B13876" t="s">
        <v>104</v>
      </c>
      <c r="E13876" s="3">
        <f>HYPERLINK("https://sao.dolgi.msk.ru/account/1404219484/", 1404219484)</f>
        <v>1404219484</v>
      </c>
      <c r="F13876">
        <v>0</v>
      </c>
    </row>
    <row r="13877" spans="1:6" hidden="1" x14ac:dyDescent="0.25">
      <c r="A13877" t="s">
        <v>719</v>
      </c>
      <c r="B13877" t="s">
        <v>105</v>
      </c>
      <c r="E13877" s="3">
        <f>HYPERLINK("https://sao.dolgi.msk.ru/account/1404219214/", 1404219214)</f>
        <v>1404219214</v>
      </c>
      <c r="F13877">
        <v>-6087.94</v>
      </c>
    </row>
    <row r="13878" spans="1:6" hidden="1" x14ac:dyDescent="0.25">
      <c r="A13878" t="s">
        <v>719</v>
      </c>
      <c r="B13878" t="s">
        <v>106</v>
      </c>
      <c r="E13878" s="3">
        <f>HYPERLINK("https://sao.dolgi.msk.ru/account/1404218588/", 1404218588)</f>
        <v>1404218588</v>
      </c>
      <c r="F13878">
        <v>-1594.23</v>
      </c>
    </row>
    <row r="13879" spans="1:6" hidden="1" x14ac:dyDescent="0.25">
      <c r="A13879" t="s">
        <v>719</v>
      </c>
      <c r="B13879" t="s">
        <v>107</v>
      </c>
      <c r="E13879" s="3">
        <f>HYPERLINK("https://sao.dolgi.msk.ru/account/1404218721/", 1404218721)</f>
        <v>1404218721</v>
      </c>
      <c r="F13879">
        <v>-2033.7</v>
      </c>
    </row>
    <row r="13880" spans="1:6" x14ac:dyDescent="0.25">
      <c r="A13880" t="s">
        <v>719</v>
      </c>
      <c r="B13880" t="s">
        <v>108</v>
      </c>
      <c r="C13880" s="5" t="str">
        <f>" кв. "&amp;B13880</f>
        <v xml:space="preserve"> кв. 104</v>
      </c>
      <c r="D13880" s="5" t="str">
        <f>CONCATENATE(A13880,C13880)</f>
        <v>Фестивальная ул., дом 41 к.3 кв. 104</v>
      </c>
      <c r="E13880" s="3">
        <f>HYPERLINK("https://sao.dolgi.msk.ru/account/1404219003/", 1404219003)</f>
        <v>1404219003</v>
      </c>
      <c r="F13880">
        <v>1243.06</v>
      </c>
    </row>
    <row r="13881" spans="1:6" hidden="1" x14ac:dyDescent="0.25">
      <c r="A13881" t="s">
        <v>719</v>
      </c>
      <c r="B13881" t="s">
        <v>109</v>
      </c>
      <c r="E13881" s="3">
        <f>HYPERLINK("https://sao.dolgi.msk.ru/account/1404219775/", 1404219775)</f>
        <v>1404219775</v>
      </c>
      <c r="F13881">
        <v>0</v>
      </c>
    </row>
    <row r="13882" spans="1:6" x14ac:dyDescent="0.25">
      <c r="A13882" t="s">
        <v>719</v>
      </c>
      <c r="B13882" t="s">
        <v>110</v>
      </c>
      <c r="C13882" s="5" t="str">
        <f t="shared" ref="C13882:C13883" si="556">" кв. "&amp;B13882</f>
        <v xml:space="preserve"> кв. 106</v>
      </c>
      <c r="D13882" s="5" t="str">
        <f>CONCATENATE(A13882,C13882)</f>
        <v>Фестивальная ул., дом 41 к.3 кв. 106</v>
      </c>
      <c r="E13882" s="3">
        <f>HYPERLINK("https://sao.dolgi.msk.ru/account/1404220792/", 1404220792)</f>
        <v>1404220792</v>
      </c>
      <c r="F13882">
        <v>1239.9000000000001</v>
      </c>
    </row>
    <row r="13883" spans="1:6" x14ac:dyDescent="0.25">
      <c r="A13883" t="s">
        <v>719</v>
      </c>
      <c r="B13883" t="s">
        <v>111</v>
      </c>
      <c r="C13883" s="5" t="str">
        <f t="shared" si="556"/>
        <v xml:space="preserve"> кв. 107</v>
      </c>
      <c r="D13883" s="5" t="str">
        <f>CONCATENATE(A13883,C13883)</f>
        <v>Фестивальная ул., дом 41 к.3 кв. 107</v>
      </c>
      <c r="E13883" s="3">
        <f>HYPERLINK("https://sao.dolgi.msk.ru/account/1404219222/", 1404219222)</f>
        <v>1404219222</v>
      </c>
      <c r="F13883">
        <v>1919.94</v>
      </c>
    </row>
    <row r="13884" spans="1:6" hidden="1" x14ac:dyDescent="0.25">
      <c r="A13884" t="s">
        <v>719</v>
      </c>
      <c r="B13884" t="s">
        <v>112</v>
      </c>
      <c r="E13884" s="3">
        <f>HYPERLINK("https://sao.dolgi.msk.ru/account/1404220186/", 1404220186)</f>
        <v>1404220186</v>
      </c>
      <c r="F13884">
        <v>-3577.48</v>
      </c>
    </row>
    <row r="13885" spans="1:6" x14ac:dyDescent="0.25">
      <c r="A13885" t="s">
        <v>719</v>
      </c>
      <c r="B13885" t="s">
        <v>113</v>
      </c>
      <c r="C13885" s="5" t="str">
        <f>" кв. "&amp;B13885</f>
        <v xml:space="preserve"> кв. 109</v>
      </c>
      <c r="D13885" s="5" t="str">
        <f>CONCATENATE(A13885,C13885)</f>
        <v>Фестивальная ул., дом 41 к.3 кв. 109</v>
      </c>
      <c r="E13885" s="3">
        <f>HYPERLINK("https://sao.dolgi.msk.ru/account/1404219505/", 1404219505)</f>
        <v>1404219505</v>
      </c>
      <c r="F13885">
        <v>1243.06</v>
      </c>
    </row>
    <row r="13886" spans="1:6" hidden="1" x14ac:dyDescent="0.25">
      <c r="A13886" t="s">
        <v>719</v>
      </c>
      <c r="B13886" t="s">
        <v>114</v>
      </c>
      <c r="E13886" s="3">
        <f>HYPERLINK("https://sao.dolgi.msk.ru/account/1404219898/", 1404219898)</f>
        <v>1404219898</v>
      </c>
      <c r="F13886">
        <v>0</v>
      </c>
    </row>
    <row r="13887" spans="1:6" hidden="1" x14ac:dyDescent="0.25">
      <c r="A13887" t="s">
        <v>719</v>
      </c>
      <c r="B13887" t="s">
        <v>115</v>
      </c>
      <c r="E13887" s="3">
        <f>HYPERLINK("https://sao.dolgi.msk.ru/account/1404218895/", 1404218895)</f>
        <v>1404218895</v>
      </c>
      <c r="F13887">
        <v>-1058.46</v>
      </c>
    </row>
    <row r="13888" spans="1:6" hidden="1" x14ac:dyDescent="0.25">
      <c r="A13888" t="s">
        <v>719</v>
      </c>
      <c r="B13888" t="s">
        <v>116</v>
      </c>
      <c r="E13888" s="3">
        <f>HYPERLINK("https://sao.dolgi.msk.ru/account/1404219329/", 1404219329)</f>
        <v>1404219329</v>
      </c>
      <c r="F13888">
        <v>-1710.17</v>
      </c>
    </row>
    <row r="13889" spans="1:6" hidden="1" x14ac:dyDescent="0.25">
      <c r="A13889" t="s">
        <v>719</v>
      </c>
      <c r="B13889" t="s">
        <v>117</v>
      </c>
      <c r="E13889" s="3">
        <f>HYPERLINK("https://sao.dolgi.msk.ru/account/1404221226/", 1404221226)</f>
        <v>1404221226</v>
      </c>
      <c r="F13889">
        <v>-1201.74</v>
      </c>
    </row>
    <row r="13890" spans="1:6" hidden="1" x14ac:dyDescent="0.25">
      <c r="A13890" t="s">
        <v>719</v>
      </c>
      <c r="B13890" t="s">
        <v>118</v>
      </c>
      <c r="E13890" s="3">
        <f>HYPERLINK("https://sao.dolgi.msk.ru/account/1404220485/", 1404220485)</f>
        <v>1404220485</v>
      </c>
      <c r="F13890">
        <v>-881.28</v>
      </c>
    </row>
    <row r="13891" spans="1:6" hidden="1" x14ac:dyDescent="0.25">
      <c r="A13891" t="s">
        <v>719</v>
      </c>
      <c r="B13891" t="s">
        <v>119</v>
      </c>
      <c r="E13891" s="3">
        <f>HYPERLINK("https://sao.dolgi.msk.ru/account/1404218705/", 1404218705)</f>
        <v>1404218705</v>
      </c>
      <c r="F13891">
        <v>-2833.33</v>
      </c>
    </row>
    <row r="13892" spans="1:6" x14ac:dyDescent="0.25">
      <c r="A13892" t="s">
        <v>719</v>
      </c>
      <c r="B13892" t="s">
        <v>120</v>
      </c>
      <c r="C13892" s="5" t="str">
        <f>" кв. "&amp;B13892</f>
        <v xml:space="preserve"> кв. 116</v>
      </c>
      <c r="D13892" s="5" t="str">
        <f>CONCATENATE(A13892,C13892)</f>
        <v>Фестивальная ул., дом 41 к.3 кв. 116</v>
      </c>
      <c r="E13892" s="3">
        <f>HYPERLINK("https://sao.dolgi.msk.ru/account/1404220178/", 1404220178)</f>
        <v>1404220178</v>
      </c>
      <c r="F13892">
        <v>1268.3599999999999</v>
      </c>
    </row>
    <row r="13893" spans="1:6" hidden="1" x14ac:dyDescent="0.25">
      <c r="A13893" t="s">
        <v>719</v>
      </c>
      <c r="B13893" t="s">
        <v>121</v>
      </c>
      <c r="E13893" s="3">
        <f>HYPERLINK("https://sao.dolgi.msk.ru/account/1404221066/", 1404221066)</f>
        <v>1404221066</v>
      </c>
      <c r="F13893">
        <v>-2029.1</v>
      </c>
    </row>
    <row r="13894" spans="1:6" hidden="1" x14ac:dyDescent="0.25">
      <c r="A13894" t="s">
        <v>719</v>
      </c>
      <c r="B13894" t="s">
        <v>122</v>
      </c>
      <c r="E13894" s="3">
        <f>HYPERLINK("https://sao.dolgi.msk.ru/account/1404219142/", 1404219142)</f>
        <v>1404219142</v>
      </c>
      <c r="F13894">
        <v>-1788.74</v>
      </c>
    </row>
    <row r="13895" spans="1:6" hidden="1" x14ac:dyDescent="0.25">
      <c r="A13895" t="s">
        <v>719</v>
      </c>
      <c r="B13895" t="s">
        <v>123</v>
      </c>
      <c r="E13895" s="3">
        <f>HYPERLINK("https://sao.dolgi.msk.ru/account/1404218836/", 1404218836)</f>
        <v>1404218836</v>
      </c>
      <c r="F13895">
        <v>0</v>
      </c>
    </row>
    <row r="13896" spans="1:6" x14ac:dyDescent="0.25">
      <c r="A13896" t="s">
        <v>719</v>
      </c>
      <c r="B13896" t="s">
        <v>124</v>
      </c>
      <c r="C13896" s="5" t="str">
        <f>" кв. "&amp;B13896</f>
        <v xml:space="preserve"> кв. 120</v>
      </c>
      <c r="D13896" s="5" t="str">
        <f>CONCATENATE(A13896,C13896)</f>
        <v>Фестивальная ул., дом 41 к.3 кв. 120</v>
      </c>
      <c r="E13896" s="3">
        <f>HYPERLINK("https://sao.dolgi.msk.ru/account/1404219855/", 1404219855)</f>
        <v>1404219855</v>
      </c>
      <c r="F13896">
        <v>1243.06</v>
      </c>
    </row>
    <row r="13897" spans="1:6" hidden="1" x14ac:dyDescent="0.25">
      <c r="A13897" t="s">
        <v>719</v>
      </c>
      <c r="B13897" t="s">
        <v>125</v>
      </c>
      <c r="E13897" s="3">
        <f>HYPERLINK("https://sao.dolgi.msk.ru/account/1404220346/", 1404220346)</f>
        <v>1404220346</v>
      </c>
      <c r="F13897">
        <v>-2796.35</v>
      </c>
    </row>
    <row r="13898" spans="1:6" hidden="1" x14ac:dyDescent="0.25">
      <c r="A13898" t="s">
        <v>719</v>
      </c>
      <c r="B13898" t="s">
        <v>126</v>
      </c>
      <c r="E13898" s="3">
        <f>HYPERLINK("https://sao.dolgi.msk.ru/account/1404218756/", 1404218756)</f>
        <v>1404218756</v>
      </c>
      <c r="F13898">
        <v>-2691</v>
      </c>
    </row>
    <row r="13899" spans="1:6" hidden="1" x14ac:dyDescent="0.25">
      <c r="A13899" t="s">
        <v>719</v>
      </c>
      <c r="B13899" t="s">
        <v>127</v>
      </c>
      <c r="E13899" s="3">
        <f>HYPERLINK("https://sao.dolgi.msk.ru/account/1404219468/", 1404219468)</f>
        <v>1404219468</v>
      </c>
      <c r="F13899">
        <v>0</v>
      </c>
    </row>
    <row r="13900" spans="1:6" hidden="1" x14ac:dyDescent="0.25">
      <c r="A13900" t="s">
        <v>719</v>
      </c>
      <c r="B13900" t="s">
        <v>128</v>
      </c>
      <c r="E13900" s="3">
        <f>HYPERLINK("https://sao.dolgi.msk.ru/account/1404220207/", 1404220207)</f>
        <v>1404220207</v>
      </c>
      <c r="F13900">
        <v>0</v>
      </c>
    </row>
    <row r="13901" spans="1:6" hidden="1" x14ac:dyDescent="0.25">
      <c r="A13901" t="s">
        <v>719</v>
      </c>
      <c r="B13901" t="s">
        <v>129</v>
      </c>
      <c r="E13901" s="3">
        <f>HYPERLINK("https://sao.dolgi.msk.ru/account/1404219206/", 1404219206)</f>
        <v>1404219206</v>
      </c>
      <c r="F13901">
        <v>-1533.66</v>
      </c>
    </row>
    <row r="13902" spans="1:6" hidden="1" x14ac:dyDescent="0.25">
      <c r="A13902" t="s">
        <v>719</v>
      </c>
      <c r="B13902" t="s">
        <v>130</v>
      </c>
      <c r="E13902" s="3">
        <f>HYPERLINK("https://sao.dolgi.msk.ru/account/1404220864/", 1404220864)</f>
        <v>1404220864</v>
      </c>
      <c r="F13902">
        <v>-532.55999999999995</v>
      </c>
    </row>
    <row r="13903" spans="1:6" x14ac:dyDescent="0.25">
      <c r="A13903" t="s">
        <v>719</v>
      </c>
      <c r="B13903" t="s">
        <v>131</v>
      </c>
      <c r="C13903" s="5" t="str">
        <f>" кв. "&amp;B13903</f>
        <v xml:space="preserve"> кв. 127</v>
      </c>
      <c r="D13903" s="5" t="str">
        <f>CONCATENATE(A13903,C13903)</f>
        <v>Фестивальная ул., дом 41 к.3 кв. 127</v>
      </c>
      <c r="E13903" s="3">
        <f>HYPERLINK("https://sao.dolgi.msk.ru/account/1404220848/", 1404220848)</f>
        <v>1404220848</v>
      </c>
      <c r="F13903">
        <v>1243.06</v>
      </c>
    </row>
    <row r="13904" spans="1:6" hidden="1" x14ac:dyDescent="0.25">
      <c r="A13904" t="s">
        <v>719</v>
      </c>
      <c r="B13904" t="s">
        <v>132</v>
      </c>
      <c r="E13904" s="3">
        <f>HYPERLINK("https://sao.dolgi.msk.ru/account/1404219388/", 1404219388)</f>
        <v>1404219388</v>
      </c>
      <c r="F13904">
        <v>0</v>
      </c>
    </row>
    <row r="13905" spans="1:6" x14ac:dyDescent="0.25">
      <c r="A13905" t="s">
        <v>719</v>
      </c>
      <c r="B13905" t="s">
        <v>133</v>
      </c>
      <c r="C13905" s="5" t="str">
        <f>" кв. "&amp;B13905</f>
        <v xml:space="preserve"> кв. 129</v>
      </c>
      <c r="D13905" s="5" t="str">
        <f>CONCATENATE(A13905,C13905)</f>
        <v>Фестивальная ул., дом 41 к.3 кв. 129</v>
      </c>
      <c r="E13905" s="3">
        <f>HYPERLINK("https://sao.dolgi.msk.ru/account/1404218879/", 1404218879)</f>
        <v>1404218879</v>
      </c>
      <c r="F13905">
        <v>1935.75</v>
      </c>
    </row>
    <row r="13906" spans="1:6" hidden="1" x14ac:dyDescent="0.25">
      <c r="A13906" t="s">
        <v>719</v>
      </c>
      <c r="B13906" t="s">
        <v>134</v>
      </c>
      <c r="E13906" s="3">
        <f>HYPERLINK("https://sao.dolgi.msk.ru/account/1404220776/", 1404220776)</f>
        <v>1404220776</v>
      </c>
      <c r="F13906">
        <v>-1830.35</v>
      </c>
    </row>
    <row r="13907" spans="1:6" hidden="1" x14ac:dyDescent="0.25">
      <c r="A13907" t="s">
        <v>719</v>
      </c>
      <c r="B13907" t="s">
        <v>135</v>
      </c>
      <c r="E13907" s="3">
        <f>HYPERLINK("https://sao.dolgi.msk.ru/account/1404219281/", 1404219281)</f>
        <v>1404219281</v>
      </c>
      <c r="F13907">
        <v>0</v>
      </c>
    </row>
    <row r="13908" spans="1:6" hidden="1" x14ac:dyDescent="0.25">
      <c r="A13908" t="s">
        <v>719</v>
      </c>
      <c r="B13908" t="s">
        <v>136</v>
      </c>
      <c r="E13908" s="3">
        <f>HYPERLINK("https://sao.dolgi.msk.ru/account/1404220901/", 1404220901)</f>
        <v>1404220901</v>
      </c>
      <c r="F13908">
        <v>0</v>
      </c>
    </row>
    <row r="13909" spans="1:6" hidden="1" x14ac:dyDescent="0.25">
      <c r="A13909" t="s">
        <v>719</v>
      </c>
      <c r="B13909" t="s">
        <v>137</v>
      </c>
      <c r="E13909" s="3">
        <f>HYPERLINK("https://sao.dolgi.msk.ru/account/1404220362/", 1404220362)</f>
        <v>1404220362</v>
      </c>
      <c r="F13909">
        <v>-1677.81</v>
      </c>
    </row>
    <row r="13910" spans="1:6" hidden="1" x14ac:dyDescent="0.25">
      <c r="A13910" t="s">
        <v>719</v>
      </c>
      <c r="B13910" t="s">
        <v>138</v>
      </c>
      <c r="E13910" s="3">
        <f>HYPERLINK("https://sao.dolgi.msk.ru/account/1404219345/", 1404219345)</f>
        <v>1404219345</v>
      </c>
      <c r="F13910">
        <v>0</v>
      </c>
    </row>
    <row r="13911" spans="1:6" x14ac:dyDescent="0.25">
      <c r="A13911" t="s">
        <v>719</v>
      </c>
      <c r="B13911" t="s">
        <v>139</v>
      </c>
      <c r="C13911" s="5" t="str">
        <f>" кв. "&amp;B13911</f>
        <v xml:space="preserve"> кв. 135</v>
      </c>
      <c r="D13911" s="5" t="str">
        <f>CONCATENATE(A13911,C13911)</f>
        <v>Фестивальная ул., дом 41 к.3 кв. 135</v>
      </c>
      <c r="E13911" s="3">
        <f>HYPERLINK("https://sao.dolgi.msk.ru/account/1404221445/", 1404221445)</f>
        <v>1404221445</v>
      </c>
      <c r="F13911">
        <v>1913.62</v>
      </c>
    </row>
    <row r="13912" spans="1:6" hidden="1" x14ac:dyDescent="0.25">
      <c r="A13912" t="s">
        <v>719</v>
      </c>
      <c r="B13912" t="s">
        <v>140</v>
      </c>
      <c r="E13912" s="3">
        <f>HYPERLINK("https://sao.dolgi.msk.ru/account/1404218887/", 1404218887)</f>
        <v>1404218887</v>
      </c>
      <c r="F13912">
        <v>-3591.35</v>
      </c>
    </row>
    <row r="13913" spans="1:6" hidden="1" x14ac:dyDescent="0.25">
      <c r="A13913" t="s">
        <v>719</v>
      </c>
      <c r="B13913" t="s">
        <v>141</v>
      </c>
      <c r="E13913" s="3">
        <f>HYPERLINK("https://sao.dolgi.msk.ru/account/1404219724/", 1404219724)</f>
        <v>1404219724</v>
      </c>
      <c r="F13913">
        <v>-969.39</v>
      </c>
    </row>
    <row r="13914" spans="1:6" hidden="1" x14ac:dyDescent="0.25">
      <c r="A13914" t="s">
        <v>719</v>
      </c>
      <c r="B13914" t="s">
        <v>142</v>
      </c>
      <c r="E13914" s="3">
        <f>HYPERLINK("https://sao.dolgi.msk.ru/account/1404218529/", 1404218529)</f>
        <v>1404218529</v>
      </c>
      <c r="F13914">
        <v>-2019.85</v>
      </c>
    </row>
    <row r="13915" spans="1:6" hidden="1" x14ac:dyDescent="0.25">
      <c r="A13915" t="s">
        <v>719</v>
      </c>
      <c r="B13915" t="s">
        <v>143</v>
      </c>
      <c r="E13915" s="3">
        <f>HYPERLINK("https://sao.dolgi.msk.ru/account/1404219687/", 1404219687)</f>
        <v>1404219687</v>
      </c>
      <c r="F13915">
        <v>-2381.44</v>
      </c>
    </row>
    <row r="13916" spans="1:6" hidden="1" x14ac:dyDescent="0.25">
      <c r="A13916" t="s">
        <v>719</v>
      </c>
      <c r="B13916" t="s">
        <v>144</v>
      </c>
      <c r="E13916" s="3">
        <f>HYPERLINK("https://sao.dolgi.msk.ru/account/1404220397/", 1404220397)</f>
        <v>1404220397</v>
      </c>
      <c r="F13916">
        <v>0</v>
      </c>
    </row>
    <row r="13917" spans="1:6" x14ac:dyDescent="0.25">
      <c r="A13917" t="s">
        <v>719</v>
      </c>
      <c r="B13917" t="s">
        <v>145</v>
      </c>
      <c r="C13917" s="5" t="str">
        <f>" кв. "&amp;B13917</f>
        <v xml:space="preserve"> кв. 141</v>
      </c>
      <c r="D13917" s="5" t="str">
        <f>CONCATENATE(A13917,C13917)</f>
        <v>Фестивальная ул., дом 41 к.3 кв. 141</v>
      </c>
      <c r="E13917" s="3">
        <f>HYPERLINK("https://sao.dolgi.msk.ru/account/1404218967/", 1404218967)</f>
        <v>1404218967</v>
      </c>
      <c r="F13917">
        <v>1243.06</v>
      </c>
    </row>
    <row r="13918" spans="1:6" hidden="1" x14ac:dyDescent="0.25">
      <c r="A13918" t="s">
        <v>719</v>
      </c>
      <c r="B13918" t="s">
        <v>146</v>
      </c>
      <c r="E13918" s="3">
        <f>HYPERLINK("https://sao.dolgi.msk.ru/account/1404220872/", 1404220872)</f>
        <v>1404220872</v>
      </c>
      <c r="F13918">
        <v>-1257.07</v>
      </c>
    </row>
    <row r="13919" spans="1:6" hidden="1" x14ac:dyDescent="0.25">
      <c r="A13919" t="s">
        <v>719</v>
      </c>
      <c r="B13919" t="s">
        <v>146</v>
      </c>
      <c r="E13919" s="3">
        <f>HYPERLINK("https://sao.dolgi.msk.ru/account/1404221381/", 1404221381)</f>
        <v>1404221381</v>
      </c>
      <c r="F13919">
        <v>-776.65</v>
      </c>
    </row>
    <row r="13920" spans="1:6" hidden="1" x14ac:dyDescent="0.25">
      <c r="A13920" t="s">
        <v>719</v>
      </c>
      <c r="B13920" t="s">
        <v>147</v>
      </c>
      <c r="E13920" s="3">
        <f>HYPERLINK("https://sao.dolgi.msk.ru/account/1404221023/", 1404221023)</f>
        <v>1404221023</v>
      </c>
      <c r="F13920">
        <v>-3364.48</v>
      </c>
    </row>
    <row r="13921" spans="1:6" hidden="1" x14ac:dyDescent="0.25">
      <c r="A13921" t="s">
        <v>719</v>
      </c>
      <c r="B13921" t="s">
        <v>148</v>
      </c>
      <c r="E13921" s="3">
        <f>HYPERLINK("https://sao.dolgi.msk.ru/account/1404221162/", 1404221162)</f>
        <v>1404221162</v>
      </c>
      <c r="F13921">
        <v>-1830.35</v>
      </c>
    </row>
    <row r="13922" spans="1:6" hidden="1" x14ac:dyDescent="0.25">
      <c r="A13922" t="s">
        <v>719</v>
      </c>
      <c r="B13922" t="s">
        <v>149</v>
      </c>
      <c r="E13922" s="3">
        <f>HYPERLINK("https://sao.dolgi.msk.ru/account/1404219994/", 1404219994)</f>
        <v>1404219994</v>
      </c>
      <c r="F13922">
        <v>-2033.7</v>
      </c>
    </row>
    <row r="13923" spans="1:6" hidden="1" x14ac:dyDescent="0.25">
      <c r="A13923" t="s">
        <v>719</v>
      </c>
      <c r="B13923" t="s">
        <v>150</v>
      </c>
      <c r="E13923" s="3">
        <f>HYPERLINK("https://sao.dolgi.msk.ru/account/1404220549/", 1404220549)</f>
        <v>1404220549</v>
      </c>
      <c r="F13923">
        <v>-1839.57</v>
      </c>
    </row>
    <row r="13924" spans="1:6" hidden="1" x14ac:dyDescent="0.25">
      <c r="A13924" t="s">
        <v>719</v>
      </c>
      <c r="B13924" t="s">
        <v>151</v>
      </c>
      <c r="E13924" s="3">
        <f>HYPERLINK("https://sao.dolgi.msk.ru/account/1404220338/", 1404220338)</f>
        <v>1404220338</v>
      </c>
      <c r="F13924">
        <v>-1687.06</v>
      </c>
    </row>
    <row r="13925" spans="1:6" hidden="1" x14ac:dyDescent="0.25">
      <c r="A13925" t="s">
        <v>719</v>
      </c>
      <c r="B13925" t="s">
        <v>152</v>
      </c>
      <c r="E13925" s="3">
        <f>HYPERLINK("https://sao.dolgi.msk.ru/account/1404220573/", 1404220573)</f>
        <v>1404220573</v>
      </c>
      <c r="F13925">
        <v>-1821.1</v>
      </c>
    </row>
    <row r="13926" spans="1:6" x14ac:dyDescent="0.25">
      <c r="A13926" t="s">
        <v>719</v>
      </c>
      <c r="B13926" t="s">
        <v>153</v>
      </c>
      <c r="C13926" s="5" t="str">
        <f>" кв. "&amp;B13926</f>
        <v xml:space="preserve"> кв. 149</v>
      </c>
      <c r="D13926" s="5" t="str">
        <f>CONCATENATE(A13926,C13926)</f>
        <v>Фестивальная ул., дом 41 к.3 кв. 149</v>
      </c>
      <c r="E13926" s="3">
        <f>HYPERLINK("https://sao.dolgi.msk.ru/account/1404218924/", 1404218924)</f>
        <v>1404218924</v>
      </c>
      <c r="F13926">
        <v>1894.64</v>
      </c>
    </row>
    <row r="13927" spans="1:6" hidden="1" x14ac:dyDescent="0.25">
      <c r="A13927" t="s">
        <v>719</v>
      </c>
      <c r="B13927" t="s">
        <v>154</v>
      </c>
      <c r="E13927" s="3">
        <f>HYPERLINK("https://sao.dolgi.msk.ru/account/1404220055/", 1404220055)</f>
        <v>1404220055</v>
      </c>
      <c r="F13927">
        <v>-3016.73</v>
      </c>
    </row>
    <row r="13928" spans="1:6" hidden="1" x14ac:dyDescent="0.25">
      <c r="A13928" t="s">
        <v>719</v>
      </c>
      <c r="B13928" t="s">
        <v>155</v>
      </c>
      <c r="E13928" s="3">
        <f>HYPERLINK("https://sao.dolgi.msk.ru/account/1404219249/", 1404219249)</f>
        <v>1404219249</v>
      </c>
      <c r="F13928">
        <v>-3075.12</v>
      </c>
    </row>
    <row r="13929" spans="1:6" hidden="1" x14ac:dyDescent="0.25">
      <c r="A13929" t="s">
        <v>719</v>
      </c>
      <c r="B13929" t="s">
        <v>156</v>
      </c>
      <c r="E13929" s="3">
        <f>HYPERLINK("https://sao.dolgi.msk.ru/account/1404219564/", 1404219564)</f>
        <v>1404219564</v>
      </c>
      <c r="F13929">
        <v>-2019.85</v>
      </c>
    </row>
    <row r="13930" spans="1:6" hidden="1" x14ac:dyDescent="0.25">
      <c r="A13930" t="s">
        <v>719</v>
      </c>
      <c r="B13930" t="s">
        <v>157</v>
      </c>
      <c r="E13930" s="3">
        <f>HYPERLINK("https://sao.dolgi.msk.ru/account/1404219599/", 1404219599)</f>
        <v>1404219599</v>
      </c>
      <c r="F13930">
        <v>0</v>
      </c>
    </row>
    <row r="13931" spans="1:6" hidden="1" x14ac:dyDescent="0.25">
      <c r="A13931" t="s">
        <v>719</v>
      </c>
      <c r="B13931" t="s">
        <v>158</v>
      </c>
      <c r="E13931" s="3">
        <f>HYPERLINK("https://sao.dolgi.msk.ru/account/1404219257/", 1404219257)</f>
        <v>1404219257</v>
      </c>
      <c r="F13931">
        <v>-1682.43</v>
      </c>
    </row>
    <row r="13932" spans="1:6" x14ac:dyDescent="0.25">
      <c r="A13932" t="s">
        <v>719</v>
      </c>
      <c r="B13932" t="s">
        <v>159</v>
      </c>
      <c r="C13932" s="5" t="str">
        <f t="shared" ref="C13932:C13935" si="557">" кв. "&amp;B13932</f>
        <v xml:space="preserve"> кв. 155</v>
      </c>
      <c r="D13932" s="5" t="str">
        <f>CONCATENATE(A13932,C13932)</f>
        <v>Фестивальная ул., дом 41 к.3 кв. 155</v>
      </c>
      <c r="E13932" s="3">
        <f>HYPERLINK("https://sao.dolgi.msk.ru/account/1404220274/", 1404220274)</f>
        <v>1404220274</v>
      </c>
      <c r="F13932">
        <v>1239.9000000000001</v>
      </c>
    </row>
    <row r="13933" spans="1:6" x14ac:dyDescent="0.25">
      <c r="A13933" t="s">
        <v>719</v>
      </c>
      <c r="B13933" t="s">
        <v>160</v>
      </c>
      <c r="C13933" s="5" t="str">
        <f t="shared" si="557"/>
        <v xml:space="preserve"> кв. 156</v>
      </c>
      <c r="D13933" s="5" t="str">
        <f>CONCATENATE(A13933,C13933)</f>
        <v>Фестивальная ул., дом 41 к.3 кв. 156</v>
      </c>
      <c r="E13933" s="3">
        <f>HYPERLINK("https://sao.dolgi.msk.ru/account/1404221285/", 1404221285)</f>
        <v>1404221285</v>
      </c>
      <c r="F13933">
        <v>1885.15</v>
      </c>
    </row>
    <row r="13934" spans="1:6" x14ac:dyDescent="0.25">
      <c r="A13934" t="s">
        <v>719</v>
      </c>
      <c r="B13934" t="s">
        <v>161</v>
      </c>
      <c r="C13934" s="5" t="str">
        <f t="shared" si="557"/>
        <v xml:space="preserve"> кв. 157</v>
      </c>
      <c r="D13934" s="5" t="str">
        <f>CONCATENATE(A13934,C13934)</f>
        <v>Фестивальная ул., дом 41 к.3 кв. 157</v>
      </c>
      <c r="E13934" s="3">
        <f>HYPERLINK("https://sao.dolgi.msk.ru/account/1404219476/", 1404219476)</f>
        <v>1404219476</v>
      </c>
      <c r="F13934">
        <v>2438.67</v>
      </c>
    </row>
    <row r="13935" spans="1:6" x14ac:dyDescent="0.25">
      <c r="A13935" t="s">
        <v>719</v>
      </c>
      <c r="B13935" t="s">
        <v>162</v>
      </c>
      <c r="C13935" s="5" t="str">
        <f t="shared" si="557"/>
        <v xml:space="preserve"> кв. 158</v>
      </c>
      <c r="D13935" s="5" t="str">
        <f>CONCATENATE(A13935,C13935)</f>
        <v>Фестивальная ул., дом 41 к.3 кв. 158</v>
      </c>
      <c r="E13935" s="3">
        <f>HYPERLINK("https://sao.dolgi.msk.ru/account/1404218668/", 1404218668)</f>
        <v>1404218668</v>
      </c>
      <c r="F13935">
        <v>1243.06</v>
      </c>
    </row>
    <row r="13936" spans="1:6" hidden="1" x14ac:dyDescent="0.25">
      <c r="A13936" t="s">
        <v>719</v>
      </c>
      <c r="B13936" t="s">
        <v>163</v>
      </c>
      <c r="E13936" s="3">
        <f>HYPERLINK("https://sao.dolgi.msk.ru/account/1404221365/", 1404221365)</f>
        <v>1404221365</v>
      </c>
      <c r="F13936">
        <v>-2024.47</v>
      </c>
    </row>
    <row r="13937" spans="1:6" hidden="1" x14ac:dyDescent="0.25">
      <c r="A13937" t="s">
        <v>719</v>
      </c>
      <c r="B13937" t="s">
        <v>164</v>
      </c>
      <c r="E13937" s="3">
        <f>HYPERLINK("https://sao.dolgi.msk.ru/account/1404219791/", 1404219791)</f>
        <v>1404219791</v>
      </c>
      <c r="F13937">
        <v>-1521.99</v>
      </c>
    </row>
    <row r="13938" spans="1:6" hidden="1" x14ac:dyDescent="0.25">
      <c r="A13938" t="s">
        <v>719</v>
      </c>
      <c r="B13938" t="s">
        <v>165</v>
      </c>
      <c r="E13938" s="3">
        <f>HYPERLINK("https://sao.dolgi.msk.ru/account/1404221082/", 1404221082)</f>
        <v>1404221082</v>
      </c>
      <c r="F13938">
        <v>-878.19</v>
      </c>
    </row>
    <row r="13939" spans="1:6" hidden="1" x14ac:dyDescent="0.25">
      <c r="A13939" t="s">
        <v>719</v>
      </c>
      <c r="B13939" t="s">
        <v>166</v>
      </c>
      <c r="E13939" s="3">
        <f>HYPERLINK("https://sao.dolgi.msk.ru/account/1404221277/", 1404221277)</f>
        <v>1404221277</v>
      </c>
      <c r="F13939">
        <v>-1770.25</v>
      </c>
    </row>
    <row r="13940" spans="1:6" hidden="1" x14ac:dyDescent="0.25">
      <c r="A13940" t="s">
        <v>719</v>
      </c>
      <c r="B13940" t="s">
        <v>167</v>
      </c>
      <c r="E13940" s="3">
        <f>HYPERLINK("https://sao.dolgi.msk.ru/account/1404219644/", 1404219644)</f>
        <v>1404219644</v>
      </c>
      <c r="F13940">
        <v>0</v>
      </c>
    </row>
    <row r="13941" spans="1:6" hidden="1" x14ac:dyDescent="0.25">
      <c r="A13941" t="s">
        <v>719</v>
      </c>
      <c r="B13941" t="s">
        <v>168</v>
      </c>
      <c r="E13941" s="3">
        <f>HYPERLINK("https://sao.dolgi.msk.ru/account/1404220442/", 1404220442)</f>
        <v>1404220442</v>
      </c>
      <c r="F13941">
        <v>-3558.99</v>
      </c>
    </row>
    <row r="13942" spans="1:6" x14ac:dyDescent="0.25">
      <c r="A13942" t="s">
        <v>719</v>
      </c>
      <c r="B13942" t="s">
        <v>169</v>
      </c>
      <c r="C13942" s="5" t="str">
        <f>" кв. "&amp;B13942</f>
        <v xml:space="preserve"> кв. 165</v>
      </c>
      <c r="D13942" s="5" t="str">
        <f>CONCATENATE(A13942,C13942)</f>
        <v>Фестивальная ул., дом 41 к.3 кв. 165</v>
      </c>
      <c r="E13942" s="3">
        <f>HYPERLINK("https://sao.dolgi.msk.ru/account/1404220266/", 1404220266)</f>
        <v>1404220266</v>
      </c>
      <c r="F13942">
        <v>727.49</v>
      </c>
    </row>
    <row r="13943" spans="1:6" hidden="1" x14ac:dyDescent="0.25">
      <c r="A13943" t="s">
        <v>719</v>
      </c>
      <c r="B13943" t="s">
        <v>170</v>
      </c>
      <c r="E13943" s="3">
        <f>HYPERLINK("https://sao.dolgi.msk.ru/account/1404218844/", 1404218844)</f>
        <v>1404218844</v>
      </c>
      <c r="F13943">
        <v>-1257.21</v>
      </c>
    </row>
    <row r="13944" spans="1:6" hidden="1" x14ac:dyDescent="0.25">
      <c r="A13944" t="s">
        <v>719</v>
      </c>
      <c r="B13944" t="s">
        <v>171</v>
      </c>
      <c r="E13944" s="3">
        <f>HYPERLINK("https://sao.dolgi.msk.ru/account/1404221111/", 1404221111)</f>
        <v>1404221111</v>
      </c>
      <c r="F13944">
        <v>0</v>
      </c>
    </row>
    <row r="13945" spans="1:6" hidden="1" x14ac:dyDescent="0.25">
      <c r="A13945" t="s">
        <v>719</v>
      </c>
      <c r="B13945" t="s">
        <v>172</v>
      </c>
      <c r="E13945" s="3">
        <f>HYPERLINK("https://sao.dolgi.msk.ru/account/1404219513/", 1404219513)</f>
        <v>1404219513</v>
      </c>
      <c r="F13945">
        <v>-1654.69</v>
      </c>
    </row>
    <row r="13946" spans="1:6" hidden="1" x14ac:dyDescent="0.25">
      <c r="A13946" t="s">
        <v>719</v>
      </c>
      <c r="B13946" t="s">
        <v>173</v>
      </c>
      <c r="E13946" s="3">
        <f>HYPERLINK("https://sao.dolgi.msk.ru/account/1404221461/", 1404221461)</f>
        <v>1404221461</v>
      </c>
      <c r="F13946">
        <v>-1793.36</v>
      </c>
    </row>
    <row r="13947" spans="1:6" x14ac:dyDescent="0.25">
      <c r="A13947" t="s">
        <v>719</v>
      </c>
      <c r="B13947" t="s">
        <v>174</v>
      </c>
      <c r="C13947" s="5" t="str">
        <f>" кв. "&amp;B13947</f>
        <v xml:space="preserve"> кв. 170</v>
      </c>
      <c r="D13947" s="5" t="str">
        <f>CONCATENATE(A13947,C13947)</f>
        <v>Фестивальная ул., дом 41 к.3 кв. 170</v>
      </c>
      <c r="E13947" s="3">
        <f>HYPERLINK("https://sao.dolgi.msk.ru/account/1404220514/", 1404220514)</f>
        <v>1404220514</v>
      </c>
      <c r="F13947">
        <v>1919.94</v>
      </c>
    </row>
    <row r="13948" spans="1:6" hidden="1" x14ac:dyDescent="0.25">
      <c r="A13948" t="s">
        <v>719</v>
      </c>
      <c r="B13948" t="s">
        <v>175</v>
      </c>
      <c r="E13948" s="3">
        <f>HYPERLINK("https://sao.dolgi.msk.ru/account/1404220418/", 1404220418)</f>
        <v>1404220418</v>
      </c>
      <c r="F13948">
        <v>-3549.74</v>
      </c>
    </row>
    <row r="13949" spans="1:6" hidden="1" x14ac:dyDescent="0.25">
      <c r="A13949" t="s">
        <v>719</v>
      </c>
      <c r="B13949" t="s">
        <v>176</v>
      </c>
      <c r="E13949" s="3">
        <f>HYPERLINK("https://sao.dolgi.msk.ru/account/1404219556/", 1404219556)</f>
        <v>1404219556</v>
      </c>
      <c r="F13949">
        <v>-1053.8399999999999</v>
      </c>
    </row>
    <row r="13950" spans="1:6" x14ac:dyDescent="0.25">
      <c r="A13950" t="s">
        <v>719</v>
      </c>
      <c r="B13950" t="s">
        <v>177</v>
      </c>
      <c r="C13950" s="5" t="str">
        <f>" кв. "&amp;B13950</f>
        <v xml:space="preserve"> кв. 173</v>
      </c>
      <c r="D13950" s="5" t="str">
        <f>CONCATENATE(A13950,C13950)</f>
        <v>Фестивальная ул., дом 41 к.3 кв. 173</v>
      </c>
      <c r="E13950" s="3">
        <f>HYPERLINK("https://sao.dolgi.msk.ru/account/1404220813/", 1404220813)</f>
        <v>1404220813</v>
      </c>
      <c r="F13950">
        <v>1385.39</v>
      </c>
    </row>
    <row r="13951" spans="1:6" hidden="1" x14ac:dyDescent="0.25">
      <c r="A13951" t="s">
        <v>719</v>
      </c>
      <c r="B13951" t="s">
        <v>178</v>
      </c>
      <c r="E13951" s="3">
        <f>HYPERLINK("https://sao.dolgi.msk.ru/account/1404219812/", 1404219812)</f>
        <v>1404219812</v>
      </c>
      <c r="F13951">
        <v>-1816.48</v>
      </c>
    </row>
    <row r="13952" spans="1:6" hidden="1" x14ac:dyDescent="0.25">
      <c r="A13952" t="s">
        <v>719</v>
      </c>
      <c r="B13952" t="s">
        <v>179</v>
      </c>
      <c r="E13952" s="3">
        <f>HYPERLINK("https://sao.dolgi.msk.ru/account/1404219097/", 1404219097)</f>
        <v>1404219097</v>
      </c>
      <c r="F13952">
        <v>-1650.07</v>
      </c>
    </row>
    <row r="13953" spans="1:6" hidden="1" x14ac:dyDescent="0.25">
      <c r="A13953" t="s">
        <v>719</v>
      </c>
      <c r="B13953" t="s">
        <v>180</v>
      </c>
      <c r="E13953" s="3">
        <f>HYPERLINK("https://sao.dolgi.msk.ru/account/1404220311/", 1404220311)</f>
        <v>1404220311</v>
      </c>
      <c r="F13953">
        <v>0</v>
      </c>
    </row>
    <row r="13954" spans="1:6" hidden="1" x14ac:dyDescent="0.25">
      <c r="A13954" t="s">
        <v>719</v>
      </c>
      <c r="B13954" t="s">
        <v>181</v>
      </c>
      <c r="E13954" s="3">
        <f>HYPERLINK("https://sao.dolgi.msk.ru/account/1404219652/", 1404219652)</f>
        <v>1404219652</v>
      </c>
      <c r="F13954">
        <v>0</v>
      </c>
    </row>
    <row r="13955" spans="1:6" hidden="1" x14ac:dyDescent="0.25">
      <c r="A13955" t="s">
        <v>719</v>
      </c>
      <c r="B13955" t="s">
        <v>182</v>
      </c>
      <c r="E13955" s="3">
        <f>HYPERLINK("https://sao.dolgi.msk.ru/account/1404220231/", 1404220231)</f>
        <v>1404220231</v>
      </c>
      <c r="F13955">
        <v>-1619.26</v>
      </c>
    </row>
    <row r="13956" spans="1:6" hidden="1" x14ac:dyDescent="0.25">
      <c r="A13956" t="s">
        <v>719</v>
      </c>
      <c r="B13956" t="s">
        <v>182</v>
      </c>
      <c r="E13956" s="3">
        <f>HYPERLINK("https://sao.dolgi.msk.ru/account/1404220987/", 1404220987)</f>
        <v>1404220987</v>
      </c>
      <c r="F13956">
        <v>-1190.96</v>
      </c>
    </row>
    <row r="13957" spans="1:6" hidden="1" x14ac:dyDescent="0.25">
      <c r="A13957" t="s">
        <v>719</v>
      </c>
      <c r="B13957" t="s">
        <v>183</v>
      </c>
      <c r="E13957" s="3">
        <f>HYPERLINK("https://sao.dolgi.msk.ru/account/1404220098/", 1404220098)</f>
        <v>1404220098</v>
      </c>
      <c r="F13957">
        <v>-1807.23</v>
      </c>
    </row>
    <row r="13958" spans="1:6" hidden="1" x14ac:dyDescent="0.25">
      <c r="A13958" t="s">
        <v>719</v>
      </c>
      <c r="B13958" t="s">
        <v>184</v>
      </c>
      <c r="E13958" s="3">
        <f>HYPERLINK("https://sao.dolgi.msk.ru/account/1404220784/", 1404220784)</f>
        <v>1404220784</v>
      </c>
      <c r="F13958">
        <v>0</v>
      </c>
    </row>
    <row r="13959" spans="1:6" hidden="1" x14ac:dyDescent="0.25">
      <c r="A13959" t="s">
        <v>719</v>
      </c>
      <c r="B13959" t="s">
        <v>185</v>
      </c>
      <c r="E13959" s="3">
        <f>HYPERLINK("https://sao.dolgi.msk.ru/account/1404220047/", 1404220047)</f>
        <v>1404220047</v>
      </c>
      <c r="F13959">
        <v>-1811.86</v>
      </c>
    </row>
    <row r="13960" spans="1:6" x14ac:dyDescent="0.25">
      <c r="A13960" t="s">
        <v>719</v>
      </c>
      <c r="B13960" t="s">
        <v>186</v>
      </c>
      <c r="C13960" s="5" t="str">
        <f>" кв. "&amp;B13960</f>
        <v xml:space="preserve"> кв. 182</v>
      </c>
      <c r="D13960" s="5" t="str">
        <f>CONCATENATE(A13960,C13960)</f>
        <v>Фестивальная ул., дом 41 к.3 кв. 182</v>
      </c>
      <c r="E13960" s="3">
        <f>HYPERLINK("https://sao.dolgi.msk.ru/account/1404219193/", 1404219193)</f>
        <v>1404219193</v>
      </c>
      <c r="F13960">
        <v>1119.7</v>
      </c>
    </row>
    <row r="13961" spans="1:6" hidden="1" x14ac:dyDescent="0.25">
      <c r="A13961" t="s">
        <v>719</v>
      </c>
      <c r="B13961" t="s">
        <v>187</v>
      </c>
      <c r="E13961" s="3">
        <f>HYPERLINK("https://sao.dolgi.msk.ru/account/1404218828/", 1404218828)</f>
        <v>1404218828</v>
      </c>
      <c r="F13961">
        <v>-1774.87</v>
      </c>
    </row>
    <row r="13962" spans="1:6" x14ac:dyDescent="0.25">
      <c r="A13962" t="s">
        <v>719</v>
      </c>
      <c r="B13962" t="s">
        <v>188</v>
      </c>
      <c r="C13962" s="5" t="str">
        <f>" кв. "&amp;B13962</f>
        <v xml:space="preserve"> кв. 184</v>
      </c>
      <c r="D13962" s="5" t="str">
        <f>CONCATENATE(A13962,C13962)</f>
        <v>Фестивальная ул., дом 41 к.3 кв. 184</v>
      </c>
      <c r="E13962" s="3">
        <f>HYPERLINK("https://sao.dolgi.msk.ru/account/1404218633/", 1404218633)</f>
        <v>1404218633</v>
      </c>
      <c r="F13962">
        <v>1923.1</v>
      </c>
    </row>
    <row r="13963" spans="1:6" hidden="1" x14ac:dyDescent="0.25">
      <c r="A13963" t="s">
        <v>719</v>
      </c>
      <c r="B13963" t="s">
        <v>189</v>
      </c>
      <c r="E13963" s="3">
        <f>HYPERLINK("https://sao.dolgi.msk.ru/account/1404221322/", 1404221322)</f>
        <v>1404221322</v>
      </c>
      <c r="F13963">
        <v>-2047.57</v>
      </c>
    </row>
    <row r="13964" spans="1:6" x14ac:dyDescent="0.25">
      <c r="A13964" t="s">
        <v>719</v>
      </c>
      <c r="B13964" t="s">
        <v>190</v>
      </c>
      <c r="C13964" s="5" t="str">
        <f>" кв. "&amp;B13964</f>
        <v xml:space="preserve"> кв. 186</v>
      </c>
      <c r="D13964" s="5" t="str">
        <f>CONCATENATE(A13964,C13964)</f>
        <v>Фестивальная ул., дом 41 к.3 кв. 186</v>
      </c>
      <c r="E13964" s="3">
        <f>HYPERLINK("https://sao.dolgi.msk.ru/account/1404220856/", 1404220856)</f>
        <v>1404220856</v>
      </c>
      <c r="F13964">
        <v>1243.06</v>
      </c>
    </row>
    <row r="13965" spans="1:6" hidden="1" x14ac:dyDescent="0.25">
      <c r="A13965" t="s">
        <v>719</v>
      </c>
      <c r="B13965" t="s">
        <v>191</v>
      </c>
      <c r="E13965" s="3">
        <f>HYPERLINK("https://sao.dolgi.msk.ru/account/1404220979/", 1404220979)</f>
        <v>1404220979</v>
      </c>
      <c r="F13965">
        <v>-2005.98</v>
      </c>
    </row>
    <row r="13966" spans="1:6" hidden="1" x14ac:dyDescent="0.25">
      <c r="A13966" t="s">
        <v>719</v>
      </c>
      <c r="B13966" t="s">
        <v>192</v>
      </c>
      <c r="E13966" s="3">
        <f>HYPERLINK("https://sao.dolgi.msk.ru/account/1404219919/", 1404219919)</f>
        <v>1404219919</v>
      </c>
      <c r="F13966">
        <v>-1797.99</v>
      </c>
    </row>
    <row r="13967" spans="1:6" hidden="1" x14ac:dyDescent="0.25">
      <c r="A13967" t="s">
        <v>719</v>
      </c>
      <c r="B13967" t="s">
        <v>193</v>
      </c>
      <c r="E13967" s="3">
        <f>HYPERLINK("https://sao.dolgi.msk.ru/account/1404221138/", 1404221138)</f>
        <v>1404221138</v>
      </c>
      <c r="F13967">
        <v>0</v>
      </c>
    </row>
    <row r="13968" spans="1:6" hidden="1" x14ac:dyDescent="0.25">
      <c r="A13968" t="s">
        <v>719</v>
      </c>
      <c r="B13968" t="s">
        <v>194</v>
      </c>
      <c r="E13968" s="3">
        <f>HYPERLINK("https://sao.dolgi.msk.ru/account/1404219804/", 1404219804)</f>
        <v>1404219804</v>
      </c>
      <c r="F13968">
        <v>-1765.63</v>
      </c>
    </row>
    <row r="13969" spans="1:6" hidden="1" x14ac:dyDescent="0.25">
      <c r="A13969" t="s">
        <v>719</v>
      </c>
      <c r="B13969" t="s">
        <v>195</v>
      </c>
      <c r="E13969" s="3">
        <f>HYPERLINK("https://sao.dolgi.msk.ru/account/1404220899/", 1404220899)</f>
        <v>1404220899</v>
      </c>
      <c r="F13969">
        <v>-2800.98</v>
      </c>
    </row>
    <row r="13970" spans="1:6" hidden="1" x14ac:dyDescent="0.25">
      <c r="A13970" t="s">
        <v>719</v>
      </c>
      <c r="B13970" t="s">
        <v>196</v>
      </c>
      <c r="E13970" s="3">
        <f>HYPERLINK("https://sao.dolgi.msk.ru/account/1404220426/", 1404220426)</f>
        <v>1404220426</v>
      </c>
      <c r="F13970">
        <v>-3577.48</v>
      </c>
    </row>
    <row r="13971" spans="1:6" hidden="1" x14ac:dyDescent="0.25">
      <c r="A13971" t="s">
        <v>719</v>
      </c>
      <c r="B13971" t="s">
        <v>197</v>
      </c>
      <c r="E13971" s="3">
        <f>HYPERLINK("https://sao.dolgi.msk.ru/account/1404219441/", 1404219441)</f>
        <v>1404219441</v>
      </c>
      <c r="F13971">
        <v>-1545.35</v>
      </c>
    </row>
    <row r="13972" spans="1:6" x14ac:dyDescent="0.25">
      <c r="A13972" t="s">
        <v>719</v>
      </c>
      <c r="B13972" t="s">
        <v>198</v>
      </c>
      <c r="C13972" s="5" t="str">
        <f>" кв. "&amp;B13972</f>
        <v xml:space="preserve"> кв. 194</v>
      </c>
      <c r="D13972" s="5" t="str">
        <f>CONCATENATE(A13972,C13972)</f>
        <v>Фестивальная ул., дом 41 к.3 кв. 194</v>
      </c>
      <c r="E13972" s="3">
        <f>HYPERLINK("https://sao.dolgi.msk.ru/account/1404218625/", 1404218625)</f>
        <v>1404218625</v>
      </c>
      <c r="F13972">
        <v>1382.23</v>
      </c>
    </row>
    <row r="13973" spans="1:6" hidden="1" x14ac:dyDescent="0.25">
      <c r="A13973" t="s">
        <v>719</v>
      </c>
      <c r="B13973" t="s">
        <v>199</v>
      </c>
      <c r="E13973" s="3">
        <f>HYPERLINK("https://sao.dolgi.msk.ru/account/1404220637/", 1404220637)</f>
        <v>1404220637</v>
      </c>
      <c r="F13973">
        <v>-1825.73</v>
      </c>
    </row>
    <row r="13974" spans="1:6" x14ac:dyDescent="0.25">
      <c r="A13974" t="s">
        <v>719</v>
      </c>
      <c r="B13974" t="s">
        <v>200</v>
      </c>
      <c r="C13974" s="5" t="str">
        <f t="shared" ref="C13974:C13975" si="558">" кв. "&amp;B13974</f>
        <v xml:space="preserve"> кв. 196</v>
      </c>
      <c r="D13974" s="5" t="str">
        <f>CONCATENATE(A13974,C13974)</f>
        <v>Фестивальная ул., дом 41 к.3 кв. 196</v>
      </c>
      <c r="E13974" s="3">
        <f>HYPERLINK("https://sao.dolgi.msk.ru/account/1404219302/", 1404219302)</f>
        <v>1404219302</v>
      </c>
      <c r="F13974">
        <v>1138.68</v>
      </c>
    </row>
    <row r="13975" spans="1:6" x14ac:dyDescent="0.25">
      <c r="A13975" t="s">
        <v>719</v>
      </c>
      <c r="B13975" t="s">
        <v>201</v>
      </c>
      <c r="C13975" s="5" t="str">
        <f t="shared" si="558"/>
        <v xml:space="preserve"> кв. 197</v>
      </c>
      <c r="D13975" s="5" t="str">
        <f>CONCATENATE(A13975,C13975)</f>
        <v>Фестивальная ул., дом 41 к.3 кв. 197</v>
      </c>
      <c r="E13975" s="3">
        <f>HYPERLINK("https://sao.dolgi.msk.ru/account/1404219628/", 1404219628)</f>
        <v>1404219628</v>
      </c>
      <c r="F13975">
        <v>1217.76</v>
      </c>
    </row>
    <row r="13976" spans="1:6" hidden="1" x14ac:dyDescent="0.25">
      <c r="A13976" t="s">
        <v>719</v>
      </c>
      <c r="B13976" t="s">
        <v>202</v>
      </c>
      <c r="E13976" s="3">
        <f>HYPERLINK("https://sao.dolgi.msk.ru/account/1404218799/", 1404218799)</f>
        <v>1404218799</v>
      </c>
      <c r="F13976">
        <v>-2351.09</v>
      </c>
    </row>
    <row r="13977" spans="1:6" hidden="1" x14ac:dyDescent="0.25">
      <c r="A13977" t="s">
        <v>719</v>
      </c>
      <c r="B13977" t="s">
        <v>203</v>
      </c>
      <c r="E13977" s="3">
        <f>HYPERLINK("https://sao.dolgi.msk.ru/account/1404220143/", 1404220143)</f>
        <v>1404220143</v>
      </c>
      <c r="F13977">
        <v>-3558.99</v>
      </c>
    </row>
    <row r="13978" spans="1:6" hidden="1" x14ac:dyDescent="0.25">
      <c r="A13978" t="s">
        <v>719</v>
      </c>
      <c r="B13978" t="s">
        <v>204</v>
      </c>
      <c r="E13978" s="3">
        <f>HYPERLINK("https://sao.dolgi.msk.ru/account/1404219011/", 1404219011)</f>
        <v>1404219011</v>
      </c>
      <c r="F13978">
        <v>-1839.57</v>
      </c>
    </row>
    <row r="13979" spans="1:6" x14ac:dyDescent="0.25">
      <c r="A13979" t="s">
        <v>719</v>
      </c>
      <c r="B13979" t="s">
        <v>205</v>
      </c>
      <c r="C13979" s="5" t="str">
        <f>" кв. "&amp;B13979</f>
        <v xml:space="preserve"> кв. 201</v>
      </c>
      <c r="D13979" s="5" t="str">
        <f>CONCATENATE(A13979,C13979)</f>
        <v>Фестивальная ул., дом 41 к.3 кв. 201</v>
      </c>
      <c r="E13979" s="3">
        <f>HYPERLINK("https://sao.dolgi.msk.ru/account/1404219177/", 1404219177)</f>
        <v>1404219177</v>
      </c>
      <c r="F13979">
        <v>1391.72</v>
      </c>
    </row>
    <row r="13980" spans="1:6" hidden="1" x14ac:dyDescent="0.25">
      <c r="A13980" t="s">
        <v>719</v>
      </c>
      <c r="B13980" t="s">
        <v>206</v>
      </c>
      <c r="E13980" s="3">
        <f>HYPERLINK("https://sao.dolgi.msk.ru/account/1404218537/", 1404218537)</f>
        <v>1404218537</v>
      </c>
      <c r="F13980">
        <v>-1793.36</v>
      </c>
    </row>
    <row r="13981" spans="1:6" x14ac:dyDescent="0.25">
      <c r="A13981" t="s">
        <v>719</v>
      </c>
      <c r="B13981" t="s">
        <v>207</v>
      </c>
      <c r="C13981" s="5" t="str">
        <f>" кв. "&amp;B13981</f>
        <v xml:space="preserve"> кв. 203</v>
      </c>
      <c r="D13981" s="5" t="str">
        <f>CONCATENATE(A13981,C13981)</f>
        <v>Фестивальная ул., дом 41 к.3 кв. 203</v>
      </c>
      <c r="E13981" s="3">
        <f>HYPERLINK("https://sao.dolgi.msk.ru/account/1404220434/", 1404220434)</f>
        <v>1404220434</v>
      </c>
      <c r="F13981">
        <v>1132.3499999999999</v>
      </c>
    </row>
    <row r="13982" spans="1:6" hidden="1" x14ac:dyDescent="0.25">
      <c r="A13982" t="s">
        <v>719</v>
      </c>
      <c r="B13982" t="s">
        <v>208</v>
      </c>
      <c r="E13982" s="3">
        <f>HYPERLINK("https://sao.dolgi.msk.ru/account/1404218561/", 1404218561)</f>
        <v>1404218561</v>
      </c>
      <c r="F13982">
        <v>-1788.74</v>
      </c>
    </row>
    <row r="13983" spans="1:6" x14ac:dyDescent="0.25">
      <c r="A13983" t="s">
        <v>719</v>
      </c>
      <c r="B13983" t="s">
        <v>209</v>
      </c>
      <c r="C13983" s="5" t="str">
        <f t="shared" ref="C13983:C13984" si="559">" кв. "&amp;B13983</f>
        <v xml:space="preserve"> кв. 205</v>
      </c>
      <c r="D13983" s="5" t="str">
        <f>CONCATENATE(A13983,C13983)</f>
        <v>Фестивальная ул., дом 41 к.3 кв. 205</v>
      </c>
      <c r="E13983" s="3">
        <f>HYPERLINK("https://sao.dolgi.msk.ru/account/1404218852/", 1404218852)</f>
        <v>1404218852</v>
      </c>
      <c r="F13983">
        <v>1916.78</v>
      </c>
    </row>
    <row r="13984" spans="1:6" x14ac:dyDescent="0.25">
      <c r="A13984" t="s">
        <v>719</v>
      </c>
      <c r="B13984" t="s">
        <v>210</v>
      </c>
      <c r="C13984" s="5" t="str">
        <f t="shared" si="559"/>
        <v xml:space="preserve"> кв. 206</v>
      </c>
      <c r="D13984" s="5" t="str">
        <f>CONCATENATE(A13984,C13984)</f>
        <v>Фестивальная ул., дом 41 к.3 кв. 206</v>
      </c>
      <c r="E13984" s="3">
        <f>HYPERLINK("https://sao.dolgi.msk.ru/account/1404220194/", 1404220194)</f>
        <v>1404220194</v>
      </c>
      <c r="F13984">
        <v>2422.86</v>
      </c>
    </row>
    <row r="13985" spans="1:6" hidden="1" x14ac:dyDescent="0.25">
      <c r="A13985" t="s">
        <v>719</v>
      </c>
      <c r="B13985" t="s">
        <v>211</v>
      </c>
      <c r="E13985" s="3">
        <f>HYPERLINK("https://sao.dolgi.msk.ru/account/1404219783/", 1404219783)</f>
        <v>1404219783</v>
      </c>
      <c r="F13985">
        <v>-1351.96</v>
      </c>
    </row>
    <row r="13986" spans="1:6" hidden="1" x14ac:dyDescent="0.25">
      <c r="A13986" t="s">
        <v>719</v>
      </c>
      <c r="B13986" t="s">
        <v>212</v>
      </c>
      <c r="E13986" s="3">
        <f>HYPERLINK("https://sao.dolgi.msk.ru/account/1404221146/", 1404221146)</f>
        <v>1404221146</v>
      </c>
      <c r="F13986">
        <v>-2001.36</v>
      </c>
    </row>
    <row r="13987" spans="1:6" hidden="1" x14ac:dyDescent="0.25">
      <c r="A13987" t="s">
        <v>719</v>
      </c>
      <c r="B13987" t="s">
        <v>213</v>
      </c>
      <c r="E13987" s="3">
        <f>HYPERLINK("https://sao.dolgi.msk.ru/account/1404218991/", 1404218991)</f>
        <v>1404218991</v>
      </c>
      <c r="F13987">
        <v>-1784.12</v>
      </c>
    </row>
    <row r="13988" spans="1:6" hidden="1" x14ac:dyDescent="0.25">
      <c r="A13988" t="s">
        <v>719</v>
      </c>
      <c r="B13988" t="s">
        <v>214</v>
      </c>
      <c r="E13988" s="3">
        <f>HYPERLINK("https://sao.dolgi.msk.ru/account/1404220688/", 1404220688)</f>
        <v>1404220688</v>
      </c>
      <c r="F13988">
        <v>-519.41999999999996</v>
      </c>
    </row>
    <row r="13989" spans="1:6" hidden="1" x14ac:dyDescent="0.25">
      <c r="A13989" t="s">
        <v>719</v>
      </c>
      <c r="B13989" t="s">
        <v>215</v>
      </c>
      <c r="E13989" s="3">
        <f>HYPERLINK("https://sao.dolgi.msk.ru/account/1404220602/", 1404220602)</f>
        <v>1404220602</v>
      </c>
      <c r="F13989">
        <v>-1779.5</v>
      </c>
    </row>
    <row r="13990" spans="1:6" hidden="1" x14ac:dyDescent="0.25">
      <c r="A13990" t="s">
        <v>719</v>
      </c>
      <c r="B13990" t="s">
        <v>216</v>
      </c>
      <c r="E13990" s="3">
        <f>HYPERLINK("https://sao.dolgi.msk.ru/account/1404219716/", 1404219716)</f>
        <v>1404219716</v>
      </c>
      <c r="F13990">
        <v>-2800.98</v>
      </c>
    </row>
    <row r="13991" spans="1:6" hidden="1" x14ac:dyDescent="0.25">
      <c r="A13991" t="s">
        <v>719</v>
      </c>
      <c r="B13991" t="s">
        <v>217</v>
      </c>
      <c r="E13991" s="3">
        <f>HYPERLINK("https://sao.dolgi.msk.ru/account/1404221015/", 1404221015)</f>
        <v>1404221015</v>
      </c>
      <c r="F13991">
        <v>-3549.74</v>
      </c>
    </row>
    <row r="13992" spans="1:6" hidden="1" x14ac:dyDescent="0.25">
      <c r="A13992" t="s">
        <v>719</v>
      </c>
      <c r="B13992" t="s">
        <v>218</v>
      </c>
      <c r="E13992" s="3">
        <f>HYPERLINK("https://sao.dolgi.msk.ru/account/1404218908/", 1404218908)</f>
        <v>1404218908</v>
      </c>
      <c r="F13992">
        <v>-1807.23</v>
      </c>
    </row>
    <row r="13993" spans="1:6" x14ac:dyDescent="0.25">
      <c r="A13993" t="s">
        <v>719</v>
      </c>
      <c r="B13993" t="s">
        <v>219</v>
      </c>
      <c r="C13993" s="5" t="str">
        <f>" кв. "&amp;B13993</f>
        <v xml:space="preserve"> кв. 215</v>
      </c>
      <c r="D13993" s="5" t="str">
        <f>CONCATENATE(A13993,C13993)</f>
        <v>Фестивальная ул., дом 41 к.3 кв. 215</v>
      </c>
      <c r="E13993" s="3">
        <f>HYPERLINK("https://sao.dolgi.msk.ru/account/1404219847/", 1404219847)</f>
        <v>1404219847</v>
      </c>
      <c r="F13993">
        <v>1366.42</v>
      </c>
    </row>
    <row r="13994" spans="1:6" hidden="1" x14ac:dyDescent="0.25">
      <c r="A13994" t="s">
        <v>719</v>
      </c>
      <c r="B13994" t="s">
        <v>220</v>
      </c>
      <c r="E13994" s="3">
        <f>HYPERLINK("https://sao.dolgi.msk.ru/account/1404219038/", 1404219038)</f>
        <v>1404219038</v>
      </c>
      <c r="F13994">
        <v>-1811.86</v>
      </c>
    </row>
    <row r="13995" spans="1:6" hidden="1" x14ac:dyDescent="0.25">
      <c r="A13995" t="s">
        <v>719</v>
      </c>
      <c r="B13995" t="s">
        <v>221</v>
      </c>
      <c r="E13995" s="3">
        <f>HYPERLINK("https://sao.dolgi.msk.ru/account/1404220717/", 1404220717)</f>
        <v>1404220717</v>
      </c>
      <c r="F13995">
        <v>-1654.69</v>
      </c>
    </row>
    <row r="13996" spans="1:6" x14ac:dyDescent="0.25">
      <c r="A13996" t="s">
        <v>719</v>
      </c>
      <c r="B13996" t="s">
        <v>222</v>
      </c>
      <c r="C13996" s="5" t="str">
        <f t="shared" ref="C13996:C13997" si="560">" кв. "&amp;B13996</f>
        <v xml:space="preserve"> кв. 218</v>
      </c>
      <c r="D13996" s="5" t="str">
        <f>CONCATENATE(A13996,C13996)</f>
        <v>Фестивальная ул., дом 41 к.3 кв. 218</v>
      </c>
      <c r="E13996" s="3">
        <f>HYPERLINK("https://sao.dolgi.msk.ru/account/1404219492/", 1404219492)</f>
        <v>1404219492</v>
      </c>
      <c r="F13996">
        <v>1230.4100000000001</v>
      </c>
    </row>
    <row r="13997" spans="1:6" x14ac:dyDescent="0.25">
      <c r="A13997" t="s">
        <v>719</v>
      </c>
      <c r="B13997" t="s">
        <v>223</v>
      </c>
      <c r="C13997" s="5" t="str">
        <f t="shared" si="560"/>
        <v xml:space="preserve"> кв. 219</v>
      </c>
      <c r="D13997" s="5" t="str">
        <f>CONCATENATE(A13997,C13997)</f>
        <v>Фестивальная ул., дом 41 к.3 кв. 219</v>
      </c>
      <c r="E13997" s="3">
        <f>HYPERLINK("https://sao.dolgi.msk.ru/account/1404220215/", 1404220215)</f>
        <v>1404220215</v>
      </c>
      <c r="F13997">
        <v>1932.59</v>
      </c>
    </row>
    <row r="13998" spans="1:6" hidden="1" x14ac:dyDescent="0.25">
      <c r="A13998" t="s">
        <v>719</v>
      </c>
      <c r="B13998" t="s">
        <v>224</v>
      </c>
      <c r="E13998" s="3">
        <f>HYPERLINK("https://sao.dolgi.msk.ru/account/1404218748/", 1404218748)</f>
        <v>1404218748</v>
      </c>
      <c r="F13998">
        <v>-2329.11</v>
      </c>
    </row>
    <row r="13999" spans="1:6" x14ac:dyDescent="0.25">
      <c r="A13999" t="s">
        <v>719</v>
      </c>
      <c r="B13999" t="s">
        <v>225</v>
      </c>
      <c r="C13999" s="5" t="str">
        <f t="shared" ref="C13999:C14001" si="561">" кв. "&amp;B13999</f>
        <v xml:space="preserve"> кв. 221</v>
      </c>
      <c r="D13999" s="5" t="str">
        <f>CONCATENATE(A13999,C13999)</f>
        <v>Фестивальная ул., дом 41 к.3 кв. 221</v>
      </c>
      <c r="E13999" s="3">
        <f>HYPERLINK("https://sao.dolgi.msk.ru/account/1404220557/", 1404220557)</f>
        <v>1404220557</v>
      </c>
      <c r="F13999">
        <v>1246.22</v>
      </c>
    </row>
    <row r="14000" spans="1:6" x14ac:dyDescent="0.25">
      <c r="A14000" t="s">
        <v>719</v>
      </c>
      <c r="B14000" t="s">
        <v>226</v>
      </c>
      <c r="C14000" s="5" t="str">
        <f t="shared" si="561"/>
        <v xml:space="preserve"> кв. 222</v>
      </c>
      <c r="D14000" s="5" t="str">
        <f>CONCATENATE(A14000,C14000)</f>
        <v>Фестивальная ул., дом 41 к.3 кв. 222</v>
      </c>
      <c r="E14000" s="3">
        <f>HYPERLINK("https://sao.dolgi.msk.ru/account/1404220004/", 1404220004)</f>
        <v>1404220004</v>
      </c>
      <c r="F14000">
        <v>1375.91</v>
      </c>
    </row>
    <row r="14001" spans="1:6" x14ac:dyDescent="0.25">
      <c r="A14001" t="s">
        <v>719</v>
      </c>
      <c r="B14001" t="s">
        <v>227</v>
      </c>
      <c r="C14001" s="5" t="str">
        <f t="shared" si="561"/>
        <v xml:space="preserve"> кв. 223</v>
      </c>
      <c r="D14001" s="5" t="str">
        <f>CONCATENATE(A14001,C14001)</f>
        <v>Фестивальная ул., дом 41 к.3 кв. 223</v>
      </c>
      <c r="E14001" s="3">
        <f>HYPERLINK("https://sao.dolgi.msk.ru/account/1404220645/", 1404220645)</f>
        <v>1404220645</v>
      </c>
      <c r="F14001">
        <v>1246.22</v>
      </c>
    </row>
    <row r="14002" spans="1:6" hidden="1" x14ac:dyDescent="0.25">
      <c r="A14002" t="s">
        <v>719</v>
      </c>
      <c r="B14002" t="s">
        <v>228</v>
      </c>
      <c r="E14002" s="3">
        <f>HYPERLINK("https://sao.dolgi.msk.ru/account/1404220282/", 1404220282)</f>
        <v>1404220282</v>
      </c>
      <c r="F14002">
        <v>-1673.19</v>
      </c>
    </row>
    <row r="14003" spans="1:6" hidden="1" x14ac:dyDescent="0.25">
      <c r="A14003" t="s">
        <v>719</v>
      </c>
      <c r="B14003" t="s">
        <v>229</v>
      </c>
      <c r="E14003" s="3">
        <f>HYPERLINK("https://sao.dolgi.msk.ru/account/1404218553/", 1404218553)</f>
        <v>1404218553</v>
      </c>
      <c r="F14003">
        <v>0</v>
      </c>
    </row>
    <row r="14004" spans="1:6" hidden="1" x14ac:dyDescent="0.25">
      <c r="A14004" t="s">
        <v>719</v>
      </c>
      <c r="B14004" t="s">
        <v>230</v>
      </c>
      <c r="E14004" s="3">
        <f>HYPERLINK("https://sao.dolgi.msk.ru/account/1404221453/", 1404221453)</f>
        <v>1404221453</v>
      </c>
      <c r="F14004">
        <v>0</v>
      </c>
    </row>
    <row r="14005" spans="1:6" hidden="1" x14ac:dyDescent="0.25">
      <c r="A14005" t="s">
        <v>719</v>
      </c>
      <c r="B14005" t="s">
        <v>231</v>
      </c>
      <c r="E14005" s="3">
        <f>HYPERLINK("https://sao.dolgi.msk.ru/account/1404220944/", 1404220944)</f>
        <v>1404220944</v>
      </c>
      <c r="F14005">
        <v>-5578.84</v>
      </c>
    </row>
    <row r="14006" spans="1:6" hidden="1" x14ac:dyDescent="0.25">
      <c r="A14006" t="s">
        <v>719</v>
      </c>
      <c r="B14006" t="s">
        <v>232</v>
      </c>
      <c r="E14006" s="3">
        <f>HYPERLINK("https://sao.dolgi.msk.ru/account/1404220936/", 1404220936)</f>
        <v>1404220936</v>
      </c>
      <c r="F14006">
        <v>-2010.61</v>
      </c>
    </row>
    <row r="14007" spans="1:6" hidden="1" x14ac:dyDescent="0.25">
      <c r="A14007" t="s">
        <v>719</v>
      </c>
      <c r="B14007" t="s">
        <v>233</v>
      </c>
      <c r="E14007" s="3">
        <f>HYPERLINK("https://sao.dolgi.msk.ru/account/1404221402/", 1404221402)</f>
        <v>1404221402</v>
      </c>
      <c r="F14007">
        <v>-1784.12</v>
      </c>
    </row>
    <row r="14008" spans="1:6" hidden="1" x14ac:dyDescent="0.25">
      <c r="A14008" t="s">
        <v>719</v>
      </c>
      <c r="B14008" t="s">
        <v>234</v>
      </c>
      <c r="E14008" s="3">
        <f>HYPERLINK("https://sao.dolgi.msk.ru/account/1404220389/", 1404220389)</f>
        <v>1404220389</v>
      </c>
      <c r="F14008">
        <v>-1636.22</v>
      </c>
    </row>
    <row r="14009" spans="1:6" hidden="1" x14ac:dyDescent="0.25">
      <c r="A14009" t="s">
        <v>719</v>
      </c>
      <c r="B14009" t="s">
        <v>235</v>
      </c>
      <c r="E14009" s="3">
        <f>HYPERLINK("https://sao.dolgi.msk.ru/account/1404219169/", 1404219169)</f>
        <v>1404219169</v>
      </c>
      <c r="F14009">
        <v>-560.28</v>
      </c>
    </row>
    <row r="14010" spans="1:6" x14ac:dyDescent="0.25">
      <c r="A14010" t="s">
        <v>719</v>
      </c>
      <c r="B14010" t="s">
        <v>239</v>
      </c>
      <c r="C14010" s="5" t="str">
        <f t="shared" ref="C14010:C14011" si="562">" кв. "&amp;B14010</f>
        <v xml:space="preserve"> кв. 232</v>
      </c>
      <c r="D14010" s="5" t="str">
        <f>CONCATENATE(A14010,C14010)</f>
        <v>Фестивальная ул., дом 41 к.3 кв. 232</v>
      </c>
      <c r="E14010" s="3">
        <f>HYPERLINK("https://sao.dolgi.msk.ru/account/1404218609/", 1404218609)</f>
        <v>1404218609</v>
      </c>
      <c r="F14010">
        <v>1388.55</v>
      </c>
    </row>
    <row r="14011" spans="1:6" x14ac:dyDescent="0.25">
      <c r="A14011" t="s">
        <v>719</v>
      </c>
      <c r="B14011" t="s">
        <v>240</v>
      </c>
      <c r="C14011" s="5" t="str">
        <f t="shared" si="562"/>
        <v xml:space="preserve"> кв. 233</v>
      </c>
      <c r="D14011" s="5" t="str">
        <f>CONCATENATE(A14011,C14011)</f>
        <v>Фестивальная ул., дом 41 к.3 кв. 233</v>
      </c>
      <c r="E14011" s="3">
        <f>HYPERLINK("https://sao.dolgi.msk.ru/account/1404219767/", 1404219767)</f>
        <v>1404219767</v>
      </c>
      <c r="F14011">
        <v>3836.72</v>
      </c>
    </row>
    <row r="14012" spans="1:6" hidden="1" x14ac:dyDescent="0.25">
      <c r="A14012" t="s">
        <v>719</v>
      </c>
      <c r="B14012" t="s">
        <v>241</v>
      </c>
      <c r="E14012" s="3">
        <f>HYPERLINK("https://sao.dolgi.msk.ru/account/1404219548/", 1404219548)</f>
        <v>1404219548</v>
      </c>
      <c r="F14012">
        <v>-2033.7</v>
      </c>
    </row>
    <row r="14013" spans="1:6" hidden="1" x14ac:dyDescent="0.25">
      <c r="A14013" t="s">
        <v>719</v>
      </c>
      <c r="B14013" t="s">
        <v>242</v>
      </c>
      <c r="E14013" s="3">
        <f>HYPERLINK("https://sao.dolgi.msk.ru/account/1404221293/", 1404221293)</f>
        <v>1404221293</v>
      </c>
      <c r="F14013">
        <v>-1788.74</v>
      </c>
    </row>
    <row r="14014" spans="1:6" hidden="1" x14ac:dyDescent="0.25">
      <c r="A14014" t="s">
        <v>719</v>
      </c>
      <c r="B14014" t="s">
        <v>243</v>
      </c>
      <c r="E14014" s="3">
        <f>HYPERLINK("https://sao.dolgi.msk.ru/account/1404221306/", 1404221306)</f>
        <v>1404221306</v>
      </c>
      <c r="F14014">
        <v>-1659.32</v>
      </c>
    </row>
    <row r="14015" spans="1:6" hidden="1" x14ac:dyDescent="0.25">
      <c r="A14015" t="s">
        <v>719</v>
      </c>
      <c r="B14015" t="s">
        <v>244</v>
      </c>
      <c r="E14015" s="3">
        <f>HYPERLINK("https://sao.dolgi.msk.ru/account/1404221189/", 1404221189)</f>
        <v>1404221189</v>
      </c>
      <c r="F14015">
        <v>-1793.36</v>
      </c>
    </row>
    <row r="14016" spans="1:6" hidden="1" x14ac:dyDescent="0.25">
      <c r="A14016" t="s">
        <v>719</v>
      </c>
      <c r="B14016" t="s">
        <v>245</v>
      </c>
      <c r="E14016" s="3">
        <f>HYPERLINK("https://sao.dolgi.msk.ru/account/1404219636/", 1404219636)</f>
        <v>1404219636</v>
      </c>
      <c r="F14016">
        <v>-2787.11</v>
      </c>
    </row>
    <row r="14017" spans="1:6" hidden="1" x14ac:dyDescent="0.25">
      <c r="A14017" t="s">
        <v>720</v>
      </c>
      <c r="B14017" t="s">
        <v>5</v>
      </c>
      <c r="E14017" s="3">
        <f>HYPERLINK("https://sao.dolgi.msk.ru/account/1404088314/", 1404088314)</f>
        <v>1404088314</v>
      </c>
      <c r="F14017">
        <v>-6851.26</v>
      </c>
    </row>
    <row r="14018" spans="1:6" x14ac:dyDescent="0.25">
      <c r="A14018" t="s">
        <v>720</v>
      </c>
      <c r="B14018" t="s">
        <v>6</v>
      </c>
      <c r="C14018" s="5" t="str">
        <f>" кв. "&amp;B14018</f>
        <v xml:space="preserve"> кв. 2</v>
      </c>
      <c r="D14018" s="5" t="str">
        <f>CONCATENATE(A14018,C14018)</f>
        <v>Фестивальная ул., дом 41 к.4 кв. 2</v>
      </c>
      <c r="E14018" s="3">
        <f>HYPERLINK("https://sao.dolgi.msk.ru/account/1404085893/", 1404085893)</f>
        <v>1404085893</v>
      </c>
      <c r="F14018">
        <v>27397.26</v>
      </c>
    </row>
    <row r="14019" spans="1:6" hidden="1" x14ac:dyDescent="0.25">
      <c r="A14019" t="s">
        <v>720</v>
      </c>
      <c r="B14019" t="s">
        <v>7</v>
      </c>
      <c r="E14019" s="3">
        <f>HYPERLINK("https://sao.dolgi.msk.ru/account/1404086132/", 1404086132)</f>
        <v>1404086132</v>
      </c>
      <c r="F14019">
        <v>-7381.6</v>
      </c>
    </row>
    <row r="14020" spans="1:6" hidden="1" x14ac:dyDescent="0.25">
      <c r="A14020" t="s">
        <v>720</v>
      </c>
      <c r="B14020" t="s">
        <v>8</v>
      </c>
      <c r="E14020" s="3">
        <f>HYPERLINK("https://sao.dolgi.msk.ru/account/1404085439/", 1404085439)</f>
        <v>1404085439</v>
      </c>
      <c r="F14020">
        <v>-4801.2299999999996</v>
      </c>
    </row>
    <row r="14021" spans="1:6" hidden="1" x14ac:dyDescent="0.25">
      <c r="A14021" t="s">
        <v>720</v>
      </c>
      <c r="B14021" t="s">
        <v>9</v>
      </c>
      <c r="E14021" s="3">
        <f>HYPERLINK("https://sao.dolgi.msk.ru/account/1404088576/", 1404088576)</f>
        <v>1404088576</v>
      </c>
      <c r="F14021">
        <v>-993.32</v>
      </c>
    </row>
    <row r="14022" spans="1:6" x14ac:dyDescent="0.25">
      <c r="A14022" t="s">
        <v>720</v>
      </c>
      <c r="B14022" t="s">
        <v>10</v>
      </c>
      <c r="C14022" s="5" t="str">
        <f>" кв. "&amp;B14022</f>
        <v xml:space="preserve"> кв. 6</v>
      </c>
      <c r="D14022" s="5" t="str">
        <f>CONCATENATE(A14022,C14022)</f>
        <v>Фестивальная ул., дом 41 к.4 кв. 6</v>
      </c>
      <c r="E14022" s="3">
        <f>HYPERLINK("https://sao.dolgi.msk.ru/account/1404088584/", 1404088584)</f>
        <v>1404088584</v>
      </c>
      <c r="F14022">
        <v>1536.37</v>
      </c>
    </row>
    <row r="14023" spans="1:6" hidden="1" x14ac:dyDescent="0.25">
      <c r="A14023" t="s">
        <v>720</v>
      </c>
      <c r="B14023" t="s">
        <v>11</v>
      </c>
      <c r="E14023" s="3">
        <f>HYPERLINK("https://sao.dolgi.msk.ru/account/1404086554/", 1404086554)</f>
        <v>1404086554</v>
      </c>
      <c r="F14023">
        <v>-3934.82</v>
      </c>
    </row>
    <row r="14024" spans="1:6" hidden="1" x14ac:dyDescent="0.25">
      <c r="A14024" t="s">
        <v>720</v>
      </c>
      <c r="B14024" t="s">
        <v>12</v>
      </c>
      <c r="E14024" s="3">
        <f>HYPERLINK("https://sao.dolgi.msk.ru/account/1404090078/", 1404090078)</f>
        <v>1404090078</v>
      </c>
      <c r="F14024">
        <v>0</v>
      </c>
    </row>
    <row r="14025" spans="1:6" hidden="1" x14ac:dyDescent="0.25">
      <c r="A14025" t="s">
        <v>720</v>
      </c>
      <c r="B14025" t="s">
        <v>13</v>
      </c>
      <c r="E14025" s="3">
        <f>HYPERLINK("https://sao.dolgi.msk.ru/account/1404085965/", 1404085965)</f>
        <v>1404085965</v>
      </c>
      <c r="F14025">
        <v>-3271.12</v>
      </c>
    </row>
    <row r="14026" spans="1:6" hidden="1" x14ac:dyDescent="0.25">
      <c r="A14026" t="s">
        <v>720</v>
      </c>
      <c r="B14026" t="s">
        <v>14</v>
      </c>
      <c r="E14026" s="3">
        <f>HYPERLINK("https://sao.dolgi.msk.ru/account/1404086669/", 1404086669)</f>
        <v>1404086669</v>
      </c>
      <c r="F14026">
        <v>-3222.24</v>
      </c>
    </row>
    <row r="14027" spans="1:6" hidden="1" x14ac:dyDescent="0.25">
      <c r="A14027" t="s">
        <v>720</v>
      </c>
      <c r="B14027" t="s">
        <v>15</v>
      </c>
      <c r="E14027" s="3">
        <f>HYPERLINK("https://sao.dolgi.msk.ru/account/1404085711/", 1404085711)</f>
        <v>1404085711</v>
      </c>
      <c r="F14027">
        <v>0</v>
      </c>
    </row>
    <row r="14028" spans="1:6" hidden="1" x14ac:dyDescent="0.25">
      <c r="A14028" t="s">
        <v>720</v>
      </c>
      <c r="B14028" t="s">
        <v>16</v>
      </c>
      <c r="E14028" s="3">
        <f>HYPERLINK("https://sao.dolgi.msk.ru/account/1404087901/", 1404087901)</f>
        <v>1404087901</v>
      </c>
      <c r="F14028">
        <v>-2926.13</v>
      </c>
    </row>
    <row r="14029" spans="1:6" hidden="1" x14ac:dyDescent="0.25">
      <c r="A14029" t="s">
        <v>720</v>
      </c>
      <c r="B14029" t="s">
        <v>17</v>
      </c>
      <c r="E14029" s="3">
        <f>HYPERLINK("https://sao.dolgi.msk.ru/account/1404087928/", 1404087928)</f>
        <v>1404087928</v>
      </c>
      <c r="F14029">
        <v>-1824.72</v>
      </c>
    </row>
    <row r="14030" spans="1:6" hidden="1" x14ac:dyDescent="0.25">
      <c r="A14030" t="s">
        <v>720</v>
      </c>
      <c r="B14030" t="s">
        <v>18</v>
      </c>
      <c r="E14030" s="3">
        <f>HYPERLINK("https://sao.dolgi.msk.ru/account/1404087549/", 1404087549)</f>
        <v>1404087549</v>
      </c>
      <c r="F14030">
        <v>0</v>
      </c>
    </row>
    <row r="14031" spans="1:6" hidden="1" x14ac:dyDescent="0.25">
      <c r="A14031" t="s">
        <v>720</v>
      </c>
      <c r="B14031" t="s">
        <v>19</v>
      </c>
      <c r="E14031" s="3">
        <f>HYPERLINK("https://sao.dolgi.msk.ru/account/1404084807/", 1404084807)</f>
        <v>1404084807</v>
      </c>
      <c r="F14031">
        <v>-9366.83</v>
      </c>
    </row>
    <row r="14032" spans="1:6" x14ac:dyDescent="0.25">
      <c r="A14032" t="s">
        <v>720</v>
      </c>
      <c r="B14032" t="s">
        <v>20</v>
      </c>
      <c r="C14032" s="5" t="str">
        <f t="shared" ref="C14032:C14033" si="563">" кв. "&amp;B14032</f>
        <v xml:space="preserve"> кв. 16</v>
      </c>
      <c r="D14032" s="5" t="str">
        <f>CONCATENATE(A14032,C14032)</f>
        <v>Фестивальная ул., дом 41 к.4 кв. 16</v>
      </c>
      <c r="E14032" s="3">
        <f>HYPERLINK("https://sao.dolgi.msk.ru/account/1404088963/", 1404088963)</f>
        <v>1404088963</v>
      </c>
      <c r="F14032">
        <v>11786.86</v>
      </c>
    </row>
    <row r="14033" spans="1:6" x14ac:dyDescent="0.25">
      <c r="A14033" t="s">
        <v>720</v>
      </c>
      <c r="B14033" t="s">
        <v>21</v>
      </c>
      <c r="C14033" s="5" t="str">
        <f t="shared" si="563"/>
        <v xml:space="preserve"> кв. 17</v>
      </c>
      <c r="D14033" s="5" t="str">
        <f>CONCATENATE(A14033,C14033)</f>
        <v>Фестивальная ул., дом 41 к.4 кв. 17</v>
      </c>
      <c r="E14033" s="3">
        <f>HYPERLINK("https://sao.dolgi.msk.ru/account/1404090561/", 1404090561)</f>
        <v>1404090561</v>
      </c>
      <c r="F14033">
        <v>57439.09</v>
      </c>
    </row>
    <row r="14034" spans="1:6" hidden="1" x14ac:dyDescent="0.25">
      <c r="A14034" t="s">
        <v>720</v>
      </c>
      <c r="B14034" t="s">
        <v>22</v>
      </c>
      <c r="E14034" s="3">
        <f>HYPERLINK("https://sao.dolgi.msk.ru/account/1404087223/", 1404087223)</f>
        <v>1404087223</v>
      </c>
      <c r="F14034">
        <v>-2777.92</v>
      </c>
    </row>
    <row r="14035" spans="1:6" hidden="1" x14ac:dyDescent="0.25">
      <c r="A14035" t="s">
        <v>720</v>
      </c>
      <c r="B14035" t="s">
        <v>23</v>
      </c>
      <c r="E14035" s="3">
        <f>HYPERLINK("https://sao.dolgi.msk.ru/account/1404090043/", 1404090043)</f>
        <v>1404090043</v>
      </c>
      <c r="F14035">
        <v>0</v>
      </c>
    </row>
    <row r="14036" spans="1:6" hidden="1" x14ac:dyDescent="0.25">
      <c r="A14036" t="s">
        <v>720</v>
      </c>
      <c r="B14036" t="s">
        <v>24</v>
      </c>
      <c r="E14036" s="3">
        <f>HYPERLINK("https://sao.dolgi.msk.ru/account/1404084997/", 1404084997)</f>
        <v>1404084997</v>
      </c>
      <c r="F14036">
        <v>-4330.57</v>
      </c>
    </row>
    <row r="14037" spans="1:6" hidden="1" x14ac:dyDescent="0.25">
      <c r="A14037" t="s">
        <v>720</v>
      </c>
      <c r="B14037" t="s">
        <v>25</v>
      </c>
      <c r="E14037" s="3">
        <f>HYPERLINK("https://sao.dolgi.msk.ru/account/1404087477/", 1404087477)</f>
        <v>1404087477</v>
      </c>
      <c r="F14037">
        <v>-7072.47</v>
      </c>
    </row>
    <row r="14038" spans="1:6" hidden="1" x14ac:dyDescent="0.25">
      <c r="A14038" t="s">
        <v>720</v>
      </c>
      <c r="B14038" t="s">
        <v>26</v>
      </c>
      <c r="E14038" s="3">
        <f>HYPERLINK("https://sao.dolgi.msk.ru/account/1404086431/", 1404086431)</f>
        <v>1404086431</v>
      </c>
      <c r="F14038">
        <v>-4335.78</v>
      </c>
    </row>
    <row r="14039" spans="1:6" hidden="1" x14ac:dyDescent="0.25">
      <c r="A14039" t="s">
        <v>720</v>
      </c>
      <c r="B14039" t="s">
        <v>26</v>
      </c>
      <c r="E14039" s="3">
        <f>HYPERLINK("https://sao.dolgi.msk.ru/account/1404089712/", 1404089712)</f>
        <v>1404089712</v>
      </c>
      <c r="F14039">
        <v>-732.74</v>
      </c>
    </row>
    <row r="14040" spans="1:6" hidden="1" x14ac:dyDescent="0.25">
      <c r="A14040" t="s">
        <v>720</v>
      </c>
      <c r="B14040" t="s">
        <v>27</v>
      </c>
      <c r="E14040" s="3">
        <f>HYPERLINK("https://sao.dolgi.msk.ru/account/1404088859/", 1404088859)</f>
        <v>1404088859</v>
      </c>
      <c r="F14040">
        <v>-4302.3100000000004</v>
      </c>
    </row>
    <row r="14041" spans="1:6" hidden="1" x14ac:dyDescent="0.25">
      <c r="A14041" t="s">
        <v>720</v>
      </c>
      <c r="B14041" t="s">
        <v>28</v>
      </c>
      <c r="E14041" s="3">
        <f>HYPERLINK("https://sao.dolgi.msk.ru/account/1404084639/", 1404084639)</f>
        <v>1404084639</v>
      </c>
      <c r="F14041">
        <v>-2206.09</v>
      </c>
    </row>
    <row r="14042" spans="1:6" x14ac:dyDescent="0.25">
      <c r="A14042" t="s">
        <v>720</v>
      </c>
      <c r="B14042" t="s">
        <v>29</v>
      </c>
      <c r="C14042" s="5" t="str">
        <f>" кв. "&amp;B14042</f>
        <v xml:space="preserve"> кв. 25</v>
      </c>
      <c r="D14042" s="5" t="str">
        <f>CONCATENATE(A14042,C14042)</f>
        <v>Фестивальная ул., дом 41 к.4 кв. 25</v>
      </c>
      <c r="E14042" s="3">
        <f>HYPERLINK("https://sao.dolgi.msk.ru/account/1404089173/", 1404089173)</f>
        <v>1404089173</v>
      </c>
      <c r="F14042">
        <v>1885.7</v>
      </c>
    </row>
    <row r="14043" spans="1:6" hidden="1" x14ac:dyDescent="0.25">
      <c r="A14043" t="s">
        <v>720</v>
      </c>
      <c r="B14043" t="s">
        <v>30</v>
      </c>
      <c r="E14043" s="3">
        <f>HYPERLINK("https://sao.dolgi.msk.ru/account/1404084516/", 1404084516)</f>
        <v>1404084516</v>
      </c>
      <c r="F14043">
        <v>-4124.9799999999996</v>
      </c>
    </row>
    <row r="14044" spans="1:6" hidden="1" x14ac:dyDescent="0.25">
      <c r="A14044" t="s">
        <v>720</v>
      </c>
      <c r="B14044" t="s">
        <v>31</v>
      </c>
      <c r="E14044" s="3">
        <f>HYPERLINK("https://sao.dolgi.msk.ru/account/1404087741/", 1404087741)</f>
        <v>1404087741</v>
      </c>
      <c r="F14044">
        <v>0</v>
      </c>
    </row>
    <row r="14045" spans="1:6" hidden="1" x14ac:dyDescent="0.25">
      <c r="A14045" t="s">
        <v>720</v>
      </c>
      <c r="B14045" t="s">
        <v>32</v>
      </c>
      <c r="E14045" s="3">
        <f>HYPERLINK("https://sao.dolgi.msk.ru/account/1404084508/", 1404084508)</f>
        <v>1404084508</v>
      </c>
      <c r="F14045">
        <v>-6542.99</v>
      </c>
    </row>
    <row r="14046" spans="1:6" hidden="1" x14ac:dyDescent="0.25">
      <c r="A14046" t="s">
        <v>720</v>
      </c>
      <c r="B14046" t="s">
        <v>33</v>
      </c>
      <c r="E14046" s="3">
        <f>HYPERLINK("https://sao.dolgi.msk.ru/account/1404085703/", 1404085703)</f>
        <v>1404085703</v>
      </c>
      <c r="F14046">
        <v>-4988.66</v>
      </c>
    </row>
    <row r="14047" spans="1:6" hidden="1" x14ac:dyDescent="0.25">
      <c r="A14047" t="s">
        <v>720</v>
      </c>
      <c r="B14047" t="s">
        <v>34</v>
      </c>
      <c r="E14047" s="3">
        <f>HYPERLINK("https://sao.dolgi.msk.ru/account/1404089181/", 1404089181)</f>
        <v>1404089181</v>
      </c>
      <c r="F14047">
        <v>0</v>
      </c>
    </row>
    <row r="14048" spans="1:6" hidden="1" x14ac:dyDescent="0.25">
      <c r="A14048" t="s">
        <v>720</v>
      </c>
      <c r="B14048" t="s">
        <v>35</v>
      </c>
      <c r="E14048" s="3">
        <f>HYPERLINK("https://sao.dolgi.msk.ru/account/1404086941/", 1404086941)</f>
        <v>1404086941</v>
      </c>
      <c r="F14048">
        <v>0</v>
      </c>
    </row>
    <row r="14049" spans="1:6" hidden="1" x14ac:dyDescent="0.25">
      <c r="A14049" t="s">
        <v>720</v>
      </c>
      <c r="B14049" t="s">
        <v>36</v>
      </c>
      <c r="E14049" s="3">
        <f>HYPERLINK("https://sao.dolgi.msk.ru/account/1404090254/", 1404090254)</f>
        <v>1404090254</v>
      </c>
      <c r="F14049">
        <v>-3864</v>
      </c>
    </row>
    <row r="14050" spans="1:6" hidden="1" x14ac:dyDescent="0.25">
      <c r="A14050" t="s">
        <v>720</v>
      </c>
      <c r="B14050" t="s">
        <v>37</v>
      </c>
      <c r="E14050" s="3">
        <f>HYPERLINK("https://sao.dolgi.msk.ru/account/1404088824/", 1404088824)</f>
        <v>1404088824</v>
      </c>
      <c r="F14050">
        <v>-3149.97</v>
      </c>
    </row>
    <row r="14051" spans="1:6" hidden="1" x14ac:dyDescent="0.25">
      <c r="A14051" t="s">
        <v>720</v>
      </c>
      <c r="B14051" t="s">
        <v>38</v>
      </c>
      <c r="E14051" s="3">
        <f>HYPERLINK("https://sao.dolgi.msk.ru/account/1404089296/", 1404089296)</f>
        <v>1404089296</v>
      </c>
      <c r="F14051">
        <v>0</v>
      </c>
    </row>
    <row r="14052" spans="1:6" hidden="1" x14ac:dyDescent="0.25">
      <c r="A14052" t="s">
        <v>720</v>
      </c>
      <c r="B14052" t="s">
        <v>39</v>
      </c>
      <c r="E14052" s="3">
        <f>HYPERLINK("https://sao.dolgi.msk.ru/account/1404087215/", 1404087215)</f>
        <v>1404087215</v>
      </c>
      <c r="F14052">
        <v>-6831.15</v>
      </c>
    </row>
    <row r="14053" spans="1:6" hidden="1" x14ac:dyDescent="0.25">
      <c r="A14053" t="s">
        <v>720</v>
      </c>
      <c r="B14053" t="s">
        <v>40</v>
      </c>
      <c r="E14053" s="3">
        <f>HYPERLINK("https://sao.dolgi.msk.ru/account/1404085412/", 1404085412)</f>
        <v>1404085412</v>
      </c>
      <c r="F14053">
        <v>-5526.17</v>
      </c>
    </row>
    <row r="14054" spans="1:6" hidden="1" x14ac:dyDescent="0.25">
      <c r="A14054" t="s">
        <v>720</v>
      </c>
      <c r="B14054" t="s">
        <v>41</v>
      </c>
      <c r="E14054" s="3">
        <f>HYPERLINK("https://sao.dolgi.msk.ru/account/1404086378/", 1404086378)</f>
        <v>1404086378</v>
      </c>
      <c r="F14054">
        <v>-3039.15</v>
      </c>
    </row>
    <row r="14055" spans="1:6" hidden="1" x14ac:dyDescent="0.25">
      <c r="A14055" t="s">
        <v>720</v>
      </c>
      <c r="B14055" t="s">
        <v>42</v>
      </c>
      <c r="E14055" s="3">
        <f>HYPERLINK("https://sao.dolgi.msk.ru/account/1404086968/", 1404086968)</f>
        <v>1404086968</v>
      </c>
      <c r="F14055">
        <v>0</v>
      </c>
    </row>
    <row r="14056" spans="1:6" hidden="1" x14ac:dyDescent="0.25">
      <c r="A14056" t="s">
        <v>720</v>
      </c>
      <c r="B14056" t="s">
        <v>43</v>
      </c>
      <c r="E14056" s="3">
        <f>HYPERLINK("https://sao.dolgi.msk.ru/account/1404087119/", 1404087119)</f>
        <v>1404087119</v>
      </c>
      <c r="F14056">
        <v>-4455.84</v>
      </c>
    </row>
    <row r="14057" spans="1:6" hidden="1" x14ac:dyDescent="0.25">
      <c r="A14057" t="s">
        <v>720</v>
      </c>
      <c r="B14057" t="s">
        <v>44</v>
      </c>
      <c r="E14057" s="3">
        <f>HYPERLINK("https://sao.dolgi.msk.ru/account/1404087135/", 1404087135)</f>
        <v>1404087135</v>
      </c>
      <c r="F14057">
        <v>-4003.06</v>
      </c>
    </row>
    <row r="14058" spans="1:6" hidden="1" x14ac:dyDescent="0.25">
      <c r="A14058" t="s">
        <v>720</v>
      </c>
      <c r="B14058" t="s">
        <v>45</v>
      </c>
      <c r="E14058" s="3">
        <f>HYPERLINK("https://sao.dolgi.msk.ru/account/1404087768/", 1404087768)</f>
        <v>1404087768</v>
      </c>
      <c r="F14058">
        <v>0</v>
      </c>
    </row>
    <row r="14059" spans="1:6" hidden="1" x14ac:dyDescent="0.25">
      <c r="A14059" t="s">
        <v>720</v>
      </c>
      <c r="B14059" t="s">
        <v>46</v>
      </c>
      <c r="E14059" s="3">
        <f>HYPERLINK("https://sao.dolgi.msk.ru/account/1404086191/", 1404086191)</f>
        <v>1404086191</v>
      </c>
      <c r="F14059">
        <v>0</v>
      </c>
    </row>
    <row r="14060" spans="1:6" hidden="1" x14ac:dyDescent="0.25">
      <c r="A14060" t="s">
        <v>720</v>
      </c>
      <c r="B14060" t="s">
        <v>47</v>
      </c>
      <c r="E14060" s="3">
        <f>HYPERLINK("https://sao.dolgi.msk.ru/account/1404085375/", 1404085375)</f>
        <v>1404085375</v>
      </c>
      <c r="F14060">
        <v>-5752.56</v>
      </c>
    </row>
    <row r="14061" spans="1:6" x14ac:dyDescent="0.25">
      <c r="A14061" t="s">
        <v>720</v>
      </c>
      <c r="B14061" t="s">
        <v>48</v>
      </c>
      <c r="C14061" s="5" t="str">
        <f t="shared" ref="C14061:C14062" si="564">" кв. "&amp;B14061</f>
        <v xml:space="preserve"> кв. 44</v>
      </c>
      <c r="D14061" s="5" t="str">
        <f>CONCATENATE(A14061,C14061)</f>
        <v>Фестивальная ул., дом 41 к.4 кв. 44</v>
      </c>
      <c r="E14061" s="3">
        <f>HYPERLINK("https://sao.dolgi.msk.ru/account/1404086511/", 1404086511)</f>
        <v>1404086511</v>
      </c>
      <c r="F14061">
        <v>22706.2</v>
      </c>
    </row>
    <row r="14062" spans="1:6" x14ac:dyDescent="0.25">
      <c r="A14062" t="s">
        <v>720</v>
      </c>
      <c r="B14062" t="s">
        <v>49</v>
      </c>
      <c r="C14062" s="5" t="str">
        <f t="shared" si="564"/>
        <v xml:space="preserve"> кв. 45</v>
      </c>
      <c r="D14062" s="5" t="str">
        <f>CONCATENATE(A14062,C14062)</f>
        <v>Фестивальная ул., дом 41 к.4 кв. 45</v>
      </c>
      <c r="E14062" s="3">
        <f>HYPERLINK("https://sao.dolgi.msk.ru/account/1404086538/", 1404086538)</f>
        <v>1404086538</v>
      </c>
      <c r="F14062">
        <v>4157</v>
      </c>
    </row>
    <row r="14063" spans="1:6" hidden="1" x14ac:dyDescent="0.25">
      <c r="A14063" t="s">
        <v>720</v>
      </c>
      <c r="B14063" t="s">
        <v>50</v>
      </c>
      <c r="E14063" s="3">
        <f>HYPERLINK("https://sao.dolgi.msk.ru/account/1404090131/", 1404090131)</f>
        <v>1404090131</v>
      </c>
      <c r="F14063">
        <v>0</v>
      </c>
    </row>
    <row r="14064" spans="1:6" hidden="1" x14ac:dyDescent="0.25">
      <c r="A14064" t="s">
        <v>720</v>
      </c>
      <c r="B14064" t="s">
        <v>51</v>
      </c>
      <c r="E14064" s="3">
        <f>HYPERLINK("https://sao.dolgi.msk.ru/account/1404084276/", 1404084276)</f>
        <v>1404084276</v>
      </c>
      <c r="F14064">
        <v>-5887.36</v>
      </c>
    </row>
    <row r="14065" spans="1:6" x14ac:dyDescent="0.25">
      <c r="A14065" t="s">
        <v>720</v>
      </c>
      <c r="B14065" t="s">
        <v>52</v>
      </c>
      <c r="C14065" s="5" t="str">
        <f>" кв. "&amp;B14065</f>
        <v xml:space="preserve"> кв. 48</v>
      </c>
      <c r="D14065" s="5" t="str">
        <f>CONCATENATE(A14065,C14065)</f>
        <v>Фестивальная ул., дом 41 к.4 кв. 48</v>
      </c>
      <c r="E14065" s="3">
        <f>HYPERLINK("https://sao.dolgi.msk.ru/account/1404088816/", 1404088816)</f>
        <v>1404088816</v>
      </c>
      <c r="F14065">
        <v>4288.03</v>
      </c>
    </row>
    <row r="14066" spans="1:6" hidden="1" x14ac:dyDescent="0.25">
      <c r="A14066" t="s">
        <v>720</v>
      </c>
      <c r="B14066" t="s">
        <v>53</v>
      </c>
      <c r="E14066" s="3">
        <f>HYPERLINK("https://sao.dolgi.msk.ru/account/1404086079/", 1404086079)</f>
        <v>1404086079</v>
      </c>
      <c r="F14066">
        <v>-5692.43</v>
      </c>
    </row>
    <row r="14067" spans="1:6" hidden="1" x14ac:dyDescent="0.25">
      <c r="A14067" t="s">
        <v>720</v>
      </c>
      <c r="B14067" t="s">
        <v>54</v>
      </c>
      <c r="E14067" s="3">
        <f>HYPERLINK("https://sao.dolgi.msk.ru/account/1404088998/", 1404088998)</f>
        <v>1404088998</v>
      </c>
      <c r="F14067">
        <v>-7027.79</v>
      </c>
    </row>
    <row r="14068" spans="1:6" hidden="1" x14ac:dyDescent="0.25">
      <c r="A14068" t="s">
        <v>720</v>
      </c>
      <c r="B14068" t="s">
        <v>55</v>
      </c>
      <c r="E14068" s="3">
        <f>HYPERLINK("https://sao.dolgi.msk.ru/account/1404089536/", 1404089536)</f>
        <v>1404089536</v>
      </c>
      <c r="F14068">
        <v>-3057.68</v>
      </c>
    </row>
    <row r="14069" spans="1:6" hidden="1" x14ac:dyDescent="0.25">
      <c r="A14069" t="s">
        <v>720</v>
      </c>
      <c r="B14069" t="s">
        <v>56</v>
      </c>
      <c r="E14069" s="3">
        <f>HYPERLINK("https://sao.dolgi.msk.ru/account/1404087995/", 1404087995)</f>
        <v>1404087995</v>
      </c>
      <c r="F14069">
        <v>-5466.72</v>
      </c>
    </row>
    <row r="14070" spans="1:6" x14ac:dyDescent="0.25">
      <c r="A14070" t="s">
        <v>720</v>
      </c>
      <c r="B14070" t="s">
        <v>57</v>
      </c>
      <c r="C14070" s="5" t="str">
        <f>" кв. "&amp;B14070</f>
        <v xml:space="preserve"> кв. 53</v>
      </c>
      <c r="D14070" s="5" t="str">
        <f>CONCATENATE(A14070,C14070)</f>
        <v>Фестивальная ул., дом 41 к.4 кв. 53</v>
      </c>
      <c r="E14070" s="3">
        <f>HYPERLINK("https://sao.dolgi.msk.ru/account/1404088007/", 1404088007)</f>
        <v>1404088007</v>
      </c>
      <c r="F14070">
        <v>2740.95</v>
      </c>
    </row>
    <row r="14071" spans="1:6" hidden="1" x14ac:dyDescent="0.25">
      <c r="A14071" t="s">
        <v>720</v>
      </c>
      <c r="B14071" t="s">
        <v>58</v>
      </c>
      <c r="E14071" s="3">
        <f>HYPERLINK("https://sao.dolgi.msk.ru/account/1404089341/", 1404089341)</f>
        <v>1404089341</v>
      </c>
      <c r="F14071">
        <v>-4184.8599999999997</v>
      </c>
    </row>
    <row r="14072" spans="1:6" hidden="1" x14ac:dyDescent="0.25">
      <c r="A14072" t="s">
        <v>720</v>
      </c>
      <c r="B14072" t="s">
        <v>59</v>
      </c>
      <c r="E14072" s="3">
        <f>HYPERLINK("https://sao.dolgi.msk.ru/account/1404087127/", 1404087127)</f>
        <v>1404087127</v>
      </c>
      <c r="F14072">
        <v>0</v>
      </c>
    </row>
    <row r="14073" spans="1:6" hidden="1" x14ac:dyDescent="0.25">
      <c r="A14073" t="s">
        <v>720</v>
      </c>
      <c r="B14073" t="s">
        <v>60</v>
      </c>
      <c r="E14073" s="3">
        <f>HYPERLINK("https://sao.dolgi.msk.ru/account/1404086829/", 1404086829)</f>
        <v>1404086829</v>
      </c>
      <c r="F14073">
        <v>0</v>
      </c>
    </row>
    <row r="14074" spans="1:6" hidden="1" x14ac:dyDescent="0.25">
      <c r="A14074" t="s">
        <v>720</v>
      </c>
      <c r="B14074" t="s">
        <v>61</v>
      </c>
      <c r="E14074" s="3">
        <f>HYPERLINK("https://sao.dolgi.msk.ru/account/1404088015/", 1404088015)</f>
        <v>1404088015</v>
      </c>
      <c r="F14074">
        <v>-5076.29</v>
      </c>
    </row>
    <row r="14075" spans="1:6" x14ac:dyDescent="0.25">
      <c r="A14075" t="s">
        <v>720</v>
      </c>
      <c r="B14075" t="s">
        <v>62</v>
      </c>
      <c r="C14075" s="5" t="str">
        <f t="shared" ref="C14075:C14076" si="565">" кв. "&amp;B14075</f>
        <v xml:space="preserve"> кв. 58</v>
      </c>
      <c r="D14075" s="5" t="str">
        <f>CONCATENATE(A14075,C14075)</f>
        <v>Фестивальная ул., дом 41 к.4 кв. 58</v>
      </c>
      <c r="E14075" s="3">
        <f>HYPERLINK("https://sao.dolgi.msk.ru/account/1404089456/", 1404089456)</f>
        <v>1404089456</v>
      </c>
      <c r="F14075">
        <v>10235.48</v>
      </c>
    </row>
    <row r="14076" spans="1:6" x14ac:dyDescent="0.25">
      <c r="A14076" t="s">
        <v>720</v>
      </c>
      <c r="B14076" t="s">
        <v>63</v>
      </c>
      <c r="C14076" s="5" t="str">
        <f t="shared" si="565"/>
        <v xml:space="preserve"> кв. 59</v>
      </c>
      <c r="D14076" s="5" t="str">
        <f>CONCATENATE(A14076,C14076)</f>
        <v>Фестивальная ул., дом 41 к.4 кв. 59</v>
      </c>
      <c r="E14076" s="3">
        <f>HYPERLINK("https://sao.dolgi.msk.ru/account/1404090713/", 1404090713)</f>
        <v>1404090713</v>
      </c>
      <c r="F14076">
        <v>7432.41</v>
      </c>
    </row>
    <row r="14077" spans="1:6" hidden="1" x14ac:dyDescent="0.25">
      <c r="A14077" t="s">
        <v>720</v>
      </c>
      <c r="B14077" t="s">
        <v>64</v>
      </c>
      <c r="E14077" s="3">
        <f>HYPERLINK("https://sao.dolgi.msk.ru/account/1404089851/", 1404089851)</f>
        <v>1404089851</v>
      </c>
      <c r="F14077">
        <v>0</v>
      </c>
    </row>
    <row r="14078" spans="1:6" hidden="1" x14ac:dyDescent="0.25">
      <c r="A14078" t="s">
        <v>720</v>
      </c>
      <c r="B14078" t="s">
        <v>65</v>
      </c>
      <c r="E14078" s="3">
        <f>HYPERLINK("https://sao.dolgi.msk.ru/account/1404085447/", 1404085447)</f>
        <v>1404085447</v>
      </c>
      <c r="F14078">
        <v>-1899.83</v>
      </c>
    </row>
    <row r="14079" spans="1:6" hidden="1" x14ac:dyDescent="0.25">
      <c r="A14079" t="s">
        <v>720</v>
      </c>
      <c r="B14079" t="s">
        <v>66</v>
      </c>
      <c r="E14079" s="3">
        <f>HYPERLINK("https://sao.dolgi.msk.ru/account/1404089464/", 1404089464)</f>
        <v>1404089464</v>
      </c>
      <c r="F14079">
        <v>-4461.54</v>
      </c>
    </row>
    <row r="14080" spans="1:6" hidden="1" x14ac:dyDescent="0.25">
      <c r="A14080" t="s">
        <v>720</v>
      </c>
      <c r="B14080" t="s">
        <v>67</v>
      </c>
      <c r="E14080" s="3">
        <f>HYPERLINK("https://sao.dolgi.msk.ru/account/1404086001/", 1404086001)</f>
        <v>1404086001</v>
      </c>
      <c r="F14080">
        <v>-3433.49</v>
      </c>
    </row>
    <row r="14081" spans="1:6" hidden="1" x14ac:dyDescent="0.25">
      <c r="A14081" t="s">
        <v>720</v>
      </c>
      <c r="B14081" t="s">
        <v>68</v>
      </c>
      <c r="E14081" s="3">
        <f>HYPERLINK("https://sao.dolgi.msk.ru/account/1404085543/", 1404085543)</f>
        <v>1404085543</v>
      </c>
      <c r="F14081">
        <v>-7597.85</v>
      </c>
    </row>
    <row r="14082" spans="1:6" hidden="1" x14ac:dyDescent="0.25">
      <c r="A14082" t="s">
        <v>720</v>
      </c>
      <c r="B14082" t="s">
        <v>69</v>
      </c>
      <c r="E14082" s="3">
        <f>HYPERLINK("https://sao.dolgi.msk.ru/account/1404084858/", 1404084858)</f>
        <v>1404084858</v>
      </c>
      <c r="F14082">
        <v>-3173.16</v>
      </c>
    </row>
    <row r="14083" spans="1:6" hidden="1" x14ac:dyDescent="0.25">
      <c r="A14083" t="s">
        <v>720</v>
      </c>
      <c r="B14083" t="s">
        <v>70</v>
      </c>
      <c r="E14083" s="3">
        <f>HYPERLINK("https://sao.dolgi.msk.ru/account/1404089165/", 1404089165)</f>
        <v>1404089165</v>
      </c>
      <c r="F14083">
        <v>-4326.83</v>
      </c>
    </row>
    <row r="14084" spans="1:6" hidden="1" x14ac:dyDescent="0.25">
      <c r="A14084" t="s">
        <v>720</v>
      </c>
      <c r="B14084" t="s">
        <v>71</v>
      </c>
      <c r="E14084" s="3">
        <f>HYPERLINK("https://sao.dolgi.msk.ru/account/1404086183/", 1404086183)</f>
        <v>1404086183</v>
      </c>
      <c r="F14084">
        <v>-5738.52</v>
      </c>
    </row>
    <row r="14085" spans="1:6" hidden="1" x14ac:dyDescent="0.25">
      <c r="A14085" t="s">
        <v>720</v>
      </c>
      <c r="B14085" t="s">
        <v>72</v>
      </c>
      <c r="E14085" s="3">
        <f>HYPERLINK("https://sao.dolgi.msk.ru/account/1404086335/", 1404086335)</f>
        <v>1404086335</v>
      </c>
      <c r="F14085">
        <v>0</v>
      </c>
    </row>
    <row r="14086" spans="1:6" hidden="1" x14ac:dyDescent="0.25">
      <c r="A14086" t="s">
        <v>720</v>
      </c>
      <c r="B14086" t="s">
        <v>73</v>
      </c>
      <c r="E14086" s="3">
        <f>HYPERLINK("https://sao.dolgi.msk.ru/account/1404088437/", 1404088437)</f>
        <v>1404088437</v>
      </c>
      <c r="F14086">
        <v>-5091.66</v>
      </c>
    </row>
    <row r="14087" spans="1:6" hidden="1" x14ac:dyDescent="0.25">
      <c r="A14087" t="s">
        <v>720</v>
      </c>
      <c r="B14087" t="s">
        <v>74</v>
      </c>
      <c r="E14087" s="3">
        <f>HYPERLINK("https://sao.dolgi.msk.ru/account/1404085885/", 1404085885)</f>
        <v>1404085885</v>
      </c>
      <c r="F14087">
        <v>-5062.74</v>
      </c>
    </row>
    <row r="14088" spans="1:6" hidden="1" x14ac:dyDescent="0.25">
      <c r="A14088" t="s">
        <v>720</v>
      </c>
      <c r="B14088" t="s">
        <v>75</v>
      </c>
      <c r="E14088" s="3">
        <f>HYPERLINK("https://sao.dolgi.msk.ru/account/1404087709/", 1404087709)</f>
        <v>1404087709</v>
      </c>
      <c r="F14088">
        <v>-6964.75</v>
      </c>
    </row>
    <row r="14089" spans="1:6" hidden="1" x14ac:dyDescent="0.25">
      <c r="A14089" t="s">
        <v>720</v>
      </c>
      <c r="B14089" t="s">
        <v>76</v>
      </c>
      <c r="E14089" s="3">
        <f>HYPERLINK("https://sao.dolgi.msk.ru/account/1404089368/", 1404089368)</f>
        <v>1404089368</v>
      </c>
      <c r="F14089">
        <v>-3907.12</v>
      </c>
    </row>
    <row r="14090" spans="1:6" x14ac:dyDescent="0.25">
      <c r="A14090" t="s">
        <v>720</v>
      </c>
      <c r="B14090" t="s">
        <v>77</v>
      </c>
      <c r="C14090" s="5" t="str">
        <f>" кв. "&amp;B14090</f>
        <v xml:space="preserve"> кв. 73</v>
      </c>
      <c r="D14090" s="5" t="str">
        <f>CONCATENATE(A14090,C14090)</f>
        <v>Фестивальная ул., дом 41 к.4 кв. 73</v>
      </c>
      <c r="E14090" s="3">
        <f>HYPERLINK("https://sao.dolgi.msk.ru/account/1404090203/", 1404090203)</f>
        <v>1404090203</v>
      </c>
      <c r="F14090">
        <v>7419.15</v>
      </c>
    </row>
    <row r="14091" spans="1:6" hidden="1" x14ac:dyDescent="0.25">
      <c r="A14091" t="s">
        <v>720</v>
      </c>
      <c r="B14091" t="s">
        <v>78</v>
      </c>
      <c r="E14091" s="3">
        <f>HYPERLINK("https://sao.dolgi.msk.ru/account/1404085754/", 1404085754)</f>
        <v>1404085754</v>
      </c>
      <c r="F14091">
        <v>0</v>
      </c>
    </row>
    <row r="14092" spans="1:6" hidden="1" x14ac:dyDescent="0.25">
      <c r="A14092" t="s">
        <v>720</v>
      </c>
      <c r="B14092" t="s">
        <v>79</v>
      </c>
      <c r="E14092" s="3">
        <f>HYPERLINK("https://sao.dolgi.msk.ru/account/1404086423/", 1404086423)</f>
        <v>1404086423</v>
      </c>
      <c r="F14092">
        <v>-2833.21</v>
      </c>
    </row>
    <row r="14093" spans="1:6" x14ac:dyDescent="0.25">
      <c r="A14093" t="s">
        <v>720</v>
      </c>
      <c r="B14093" t="s">
        <v>80</v>
      </c>
      <c r="C14093" s="5" t="str">
        <f>" кв. "&amp;B14093</f>
        <v xml:space="preserve"> кв. 76</v>
      </c>
      <c r="D14093" s="5" t="str">
        <f>CONCATENATE(A14093,C14093)</f>
        <v>Фестивальная ул., дом 41 к.4 кв. 76</v>
      </c>
      <c r="E14093" s="3">
        <f>HYPERLINK("https://sao.dolgi.msk.ru/account/1404090385/", 1404090385)</f>
        <v>1404090385</v>
      </c>
      <c r="F14093">
        <v>141977.70000000001</v>
      </c>
    </row>
    <row r="14094" spans="1:6" hidden="1" x14ac:dyDescent="0.25">
      <c r="A14094" t="s">
        <v>720</v>
      </c>
      <c r="B14094" t="s">
        <v>81</v>
      </c>
      <c r="E14094" s="3">
        <f>HYPERLINK("https://sao.dolgi.msk.ru/account/1404086036/", 1404086036)</f>
        <v>1404086036</v>
      </c>
      <c r="F14094">
        <v>-1027.48</v>
      </c>
    </row>
    <row r="14095" spans="1:6" hidden="1" x14ac:dyDescent="0.25">
      <c r="A14095" t="s">
        <v>720</v>
      </c>
      <c r="B14095" t="s">
        <v>82</v>
      </c>
      <c r="E14095" s="3">
        <f>HYPERLINK("https://sao.dolgi.msk.ru/account/1404086175/", 1404086175)</f>
        <v>1404086175</v>
      </c>
      <c r="F14095">
        <v>-7247.88</v>
      </c>
    </row>
    <row r="14096" spans="1:6" hidden="1" x14ac:dyDescent="0.25">
      <c r="A14096" t="s">
        <v>720</v>
      </c>
      <c r="B14096" t="s">
        <v>83</v>
      </c>
      <c r="E14096" s="3">
        <f>HYPERLINK("https://sao.dolgi.msk.ru/account/1404085252/", 1404085252)</f>
        <v>1404085252</v>
      </c>
      <c r="F14096">
        <v>-5057.22</v>
      </c>
    </row>
    <row r="14097" spans="1:6" hidden="1" x14ac:dyDescent="0.25">
      <c r="A14097" t="s">
        <v>720</v>
      </c>
      <c r="B14097" t="s">
        <v>84</v>
      </c>
      <c r="E14097" s="3">
        <f>HYPERLINK("https://sao.dolgi.msk.ru/account/1404088429/", 1404088429)</f>
        <v>1404088429</v>
      </c>
      <c r="F14097">
        <v>0</v>
      </c>
    </row>
    <row r="14098" spans="1:6" hidden="1" x14ac:dyDescent="0.25">
      <c r="A14098" t="s">
        <v>720</v>
      </c>
      <c r="B14098" t="s">
        <v>85</v>
      </c>
      <c r="E14098" s="3">
        <f>HYPERLINK("https://sao.dolgi.msk.ru/account/1404085105/", 1404085105)</f>
        <v>1404085105</v>
      </c>
      <c r="F14098">
        <v>0</v>
      </c>
    </row>
    <row r="14099" spans="1:6" hidden="1" x14ac:dyDescent="0.25">
      <c r="A14099" t="s">
        <v>720</v>
      </c>
      <c r="B14099" t="s">
        <v>86</v>
      </c>
      <c r="E14099" s="3">
        <f>HYPERLINK("https://sao.dolgi.msk.ru/account/1404085586/", 1404085586)</f>
        <v>1404085586</v>
      </c>
      <c r="F14099">
        <v>0</v>
      </c>
    </row>
    <row r="14100" spans="1:6" hidden="1" x14ac:dyDescent="0.25">
      <c r="A14100" t="s">
        <v>720</v>
      </c>
      <c r="B14100" t="s">
        <v>87</v>
      </c>
      <c r="E14100" s="3">
        <f>HYPERLINK("https://sao.dolgi.msk.ru/account/1404090174/", 1404090174)</f>
        <v>1404090174</v>
      </c>
      <c r="F14100">
        <v>0</v>
      </c>
    </row>
    <row r="14101" spans="1:6" hidden="1" x14ac:dyDescent="0.25">
      <c r="A14101" t="s">
        <v>720</v>
      </c>
      <c r="B14101" t="s">
        <v>88</v>
      </c>
      <c r="E14101" s="3">
        <f>HYPERLINK("https://sao.dolgi.msk.ru/account/1404088365/", 1404088365)</f>
        <v>1404088365</v>
      </c>
      <c r="F14101">
        <v>-385.67</v>
      </c>
    </row>
    <row r="14102" spans="1:6" hidden="1" x14ac:dyDescent="0.25">
      <c r="A14102" t="s">
        <v>720</v>
      </c>
      <c r="B14102" t="s">
        <v>89</v>
      </c>
      <c r="E14102" s="3">
        <f>HYPERLINK("https://sao.dolgi.msk.ru/account/1404087936/", 1404087936)</f>
        <v>1404087936</v>
      </c>
      <c r="F14102">
        <v>-5124.03</v>
      </c>
    </row>
    <row r="14103" spans="1:6" hidden="1" x14ac:dyDescent="0.25">
      <c r="A14103" t="s">
        <v>720</v>
      </c>
      <c r="B14103" t="s">
        <v>90</v>
      </c>
      <c r="E14103" s="3">
        <f>HYPERLINK("https://sao.dolgi.msk.ru/account/1404089448/", 1404089448)</f>
        <v>1404089448</v>
      </c>
      <c r="F14103">
        <v>-2691.98</v>
      </c>
    </row>
    <row r="14104" spans="1:6" hidden="1" x14ac:dyDescent="0.25">
      <c r="A14104" t="s">
        <v>720</v>
      </c>
      <c r="B14104" t="s">
        <v>91</v>
      </c>
      <c r="E14104" s="3">
        <f>HYPERLINK("https://sao.dolgi.msk.ru/account/1404085551/", 1404085551)</f>
        <v>1404085551</v>
      </c>
      <c r="F14104">
        <v>-3247.57</v>
      </c>
    </row>
    <row r="14105" spans="1:6" hidden="1" x14ac:dyDescent="0.25">
      <c r="A14105" t="s">
        <v>720</v>
      </c>
      <c r="B14105" t="s">
        <v>92</v>
      </c>
      <c r="E14105" s="3">
        <f>HYPERLINK("https://sao.dolgi.msk.ru/account/1404085308/", 1404085308)</f>
        <v>1404085308</v>
      </c>
      <c r="F14105">
        <v>-2518.1</v>
      </c>
    </row>
    <row r="14106" spans="1:6" x14ac:dyDescent="0.25">
      <c r="A14106" t="s">
        <v>720</v>
      </c>
      <c r="B14106" t="s">
        <v>93</v>
      </c>
      <c r="C14106" s="5" t="str">
        <f>" кв. "&amp;B14106</f>
        <v xml:space="preserve"> кв. 89</v>
      </c>
      <c r="D14106" s="5" t="str">
        <f>CONCATENATE(A14106,C14106)</f>
        <v>Фестивальная ул., дом 41 к.4 кв. 89</v>
      </c>
      <c r="E14106" s="3">
        <f>HYPERLINK("https://sao.dolgi.msk.ru/account/1404088787/", 1404088787)</f>
        <v>1404088787</v>
      </c>
      <c r="F14106">
        <v>6852.06</v>
      </c>
    </row>
    <row r="14107" spans="1:6" hidden="1" x14ac:dyDescent="0.25">
      <c r="A14107" t="s">
        <v>720</v>
      </c>
      <c r="B14107" t="s">
        <v>94</v>
      </c>
      <c r="E14107" s="3">
        <f>HYPERLINK("https://sao.dolgi.msk.ru/account/1404087784/", 1404087784)</f>
        <v>1404087784</v>
      </c>
      <c r="F14107">
        <v>-4393.21</v>
      </c>
    </row>
    <row r="14108" spans="1:6" hidden="1" x14ac:dyDescent="0.25">
      <c r="A14108" t="s">
        <v>720</v>
      </c>
      <c r="B14108" t="s">
        <v>95</v>
      </c>
      <c r="E14108" s="3">
        <f>HYPERLINK("https://sao.dolgi.msk.ru/account/1404087143/", 1404087143)</f>
        <v>1404087143</v>
      </c>
      <c r="F14108">
        <v>0</v>
      </c>
    </row>
    <row r="14109" spans="1:6" hidden="1" x14ac:dyDescent="0.25">
      <c r="A14109" t="s">
        <v>720</v>
      </c>
      <c r="B14109" t="s">
        <v>96</v>
      </c>
      <c r="E14109" s="3">
        <f>HYPERLINK("https://sao.dolgi.msk.ru/account/1404085404/", 1404085404)</f>
        <v>1404085404</v>
      </c>
      <c r="F14109">
        <v>-4900.8500000000004</v>
      </c>
    </row>
    <row r="14110" spans="1:6" x14ac:dyDescent="0.25">
      <c r="A14110" t="s">
        <v>720</v>
      </c>
      <c r="B14110" t="s">
        <v>97</v>
      </c>
      <c r="C14110" s="5" t="str">
        <f>" кв. "&amp;B14110</f>
        <v xml:space="preserve"> кв. 93</v>
      </c>
      <c r="D14110" s="5" t="str">
        <f>CONCATENATE(A14110,C14110)</f>
        <v>Фестивальная ул., дом 41 к.4 кв. 93</v>
      </c>
      <c r="E14110" s="3">
        <f>HYPERLINK("https://sao.dolgi.msk.ru/account/1404087178/", 1404087178)</f>
        <v>1404087178</v>
      </c>
      <c r="F14110">
        <v>5611.91</v>
      </c>
    </row>
    <row r="14111" spans="1:6" hidden="1" x14ac:dyDescent="0.25">
      <c r="A14111" t="s">
        <v>720</v>
      </c>
      <c r="B14111" t="s">
        <v>98</v>
      </c>
      <c r="E14111" s="3">
        <f>HYPERLINK("https://sao.dolgi.msk.ru/account/1404088488/", 1404088488)</f>
        <v>1404088488</v>
      </c>
      <c r="F14111">
        <v>-2905.77</v>
      </c>
    </row>
    <row r="14112" spans="1:6" hidden="1" x14ac:dyDescent="0.25">
      <c r="A14112" t="s">
        <v>720</v>
      </c>
      <c r="B14112" t="s">
        <v>99</v>
      </c>
      <c r="E14112" s="3">
        <f>HYPERLINK("https://sao.dolgi.msk.ru/account/1404088605/", 1404088605)</f>
        <v>1404088605</v>
      </c>
      <c r="F14112">
        <v>-1981.25</v>
      </c>
    </row>
    <row r="14113" spans="1:6" hidden="1" x14ac:dyDescent="0.25">
      <c r="A14113" t="s">
        <v>720</v>
      </c>
      <c r="B14113" t="s">
        <v>100</v>
      </c>
      <c r="E14113" s="3">
        <f>HYPERLINK("https://sao.dolgi.msk.ru/account/1404088234/", 1404088234)</f>
        <v>1404088234</v>
      </c>
      <c r="F14113">
        <v>0</v>
      </c>
    </row>
    <row r="14114" spans="1:6" hidden="1" x14ac:dyDescent="0.25">
      <c r="A14114" t="s">
        <v>720</v>
      </c>
      <c r="B14114" t="s">
        <v>101</v>
      </c>
      <c r="E14114" s="3">
        <f>HYPERLINK("https://sao.dolgi.msk.ru/account/1404088242/", 1404088242)</f>
        <v>1404088242</v>
      </c>
      <c r="F14114">
        <v>0</v>
      </c>
    </row>
    <row r="14115" spans="1:6" x14ac:dyDescent="0.25">
      <c r="A14115" t="s">
        <v>720</v>
      </c>
      <c r="B14115" t="s">
        <v>102</v>
      </c>
      <c r="C14115" s="5" t="str">
        <f>" кв. "&amp;B14115</f>
        <v xml:space="preserve"> кв. 98</v>
      </c>
      <c r="D14115" s="5" t="str">
        <f>CONCATENATE(A14115,C14115)</f>
        <v>Фестивальная ул., дом 41 к.4 кв. 98</v>
      </c>
      <c r="E14115" s="3">
        <f>HYPERLINK("https://sao.dolgi.msk.ru/account/1404089579/", 1404089579)</f>
        <v>1404089579</v>
      </c>
      <c r="F14115">
        <v>18383.16</v>
      </c>
    </row>
    <row r="14116" spans="1:6" hidden="1" x14ac:dyDescent="0.25">
      <c r="A14116" t="s">
        <v>720</v>
      </c>
      <c r="B14116" t="s">
        <v>103</v>
      </c>
      <c r="E14116" s="3">
        <f>HYPERLINK("https://sao.dolgi.msk.ru/account/1404086108/", 1404086108)</f>
        <v>1404086108</v>
      </c>
      <c r="F14116">
        <v>-6938.19</v>
      </c>
    </row>
    <row r="14117" spans="1:6" x14ac:dyDescent="0.25">
      <c r="A14117" t="s">
        <v>720</v>
      </c>
      <c r="B14117" t="s">
        <v>104</v>
      </c>
      <c r="C14117" s="5" t="str">
        <f t="shared" ref="C14117:C14118" si="566">" кв. "&amp;B14117</f>
        <v xml:space="preserve"> кв. 100</v>
      </c>
      <c r="D14117" s="5" t="str">
        <f>CONCATENATE(A14117,C14117)</f>
        <v>Фестивальная ул., дом 41 к.4 кв. 100</v>
      </c>
      <c r="E14117" s="3">
        <f>HYPERLINK("https://sao.dolgi.msk.ru/account/1404086749/", 1404086749)</f>
        <v>1404086749</v>
      </c>
      <c r="F14117">
        <v>20421.189999999999</v>
      </c>
    </row>
    <row r="14118" spans="1:6" x14ac:dyDescent="0.25">
      <c r="A14118" t="s">
        <v>720</v>
      </c>
      <c r="B14118" t="s">
        <v>105</v>
      </c>
      <c r="C14118" s="5" t="str">
        <f t="shared" si="566"/>
        <v xml:space="preserve"> кв. 101</v>
      </c>
      <c r="D14118" s="5" t="str">
        <f>CONCATENATE(A14118,C14118)</f>
        <v>Фестивальная ул., дом 41 к.4 кв. 101</v>
      </c>
      <c r="E14118" s="3">
        <f>HYPERLINK("https://sao.dolgi.msk.ru/account/1404085578/", 1404085578)</f>
        <v>1404085578</v>
      </c>
      <c r="F14118">
        <v>8259.7099999999991</v>
      </c>
    </row>
    <row r="14119" spans="1:6" hidden="1" x14ac:dyDescent="0.25">
      <c r="A14119" t="s">
        <v>720</v>
      </c>
      <c r="B14119" t="s">
        <v>106</v>
      </c>
      <c r="E14119" s="3">
        <f>HYPERLINK("https://sao.dolgi.msk.ru/account/1404087792/", 1404087792)</f>
        <v>1404087792</v>
      </c>
      <c r="F14119">
        <v>-3026.33</v>
      </c>
    </row>
    <row r="14120" spans="1:6" hidden="1" x14ac:dyDescent="0.25">
      <c r="A14120" t="s">
        <v>720</v>
      </c>
      <c r="B14120" t="s">
        <v>107</v>
      </c>
      <c r="E14120" s="3">
        <f>HYPERLINK("https://sao.dolgi.msk.ru/account/1404085674/", 1404085674)</f>
        <v>1404085674</v>
      </c>
      <c r="F14120">
        <v>-5891.32</v>
      </c>
    </row>
    <row r="14121" spans="1:6" hidden="1" x14ac:dyDescent="0.25">
      <c r="A14121" t="s">
        <v>720</v>
      </c>
      <c r="B14121" t="s">
        <v>108</v>
      </c>
      <c r="E14121" s="3">
        <f>HYPERLINK("https://sao.dolgi.msk.ru/account/1404086351/", 1404086351)</f>
        <v>1404086351</v>
      </c>
      <c r="F14121">
        <v>-4066.05</v>
      </c>
    </row>
    <row r="14122" spans="1:6" x14ac:dyDescent="0.25">
      <c r="A14122" t="s">
        <v>720</v>
      </c>
      <c r="B14122" t="s">
        <v>109</v>
      </c>
      <c r="C14122" s="5" t="str">
        <f>" кв. "&amp;B14122</f>
        <v xml:space="preserve"> кв. 105</v>
      </c>
      <c r="D14122" s="5" t="str">
        <f>CONCATENATE(A14122,C14122)</f>
        <v>Фестивальная ул., дом 41 к.4 кв. 105</v>
      </c>
      <c r="E14122" s="3">
        <f>HYPERLINK("https://sao.dolgi.msk.ru/account/1404085527/", 1404085527)</f>
        <v>1404085527</v>
      </c>
      <c r="F14122">
        <v>7120.58</v>
      </c>
    </row>
    <row r="14123" spans="1:6" hidden="1" x14ac:dyDescent="0.25">
      <c r="A14123" t="s">
        <v>720</v>
      </c>
      <c r="B14123" t="s">
        <v>110</v>
      </c>
      <c r="E14123" s="3">
        <f>HYPERLINK("https://sao.dolgi.msk.ru/account/1404085279/", 1404085279)</f>
        <v>1404085279</v>
      </c>
      <c r="F14123">
        <v>-15539.15</v>
      </c>
    </row>
    <row r="14124" spans="1:6" hidden="1" x14ac:dyDescent="0.25">
      <c r="A14124" t="s">
        <v>720</v>
      </c>
      <c r="B14124" t="s">
        <v>111</v>
      </c>
      <c r="E14124" s="3">
        <f>HYPERLINK("https://sao.dolgi.msk.ru/account/1404085682/", 1404085682)</f>
        <v>1404085682</v>
      </c>
      <c r="F14124">
        <v>0</v>
      </c>
    </row>
    <row r="14125" spans="1:6" hidden="1" x14ac:dyDescent="0.25">
      <c r="A14125" t="s">
        <v>720</v>
      </c>
      <c r="B14125" t="s">
        <v>112</v>
      </c>
      <c r="E14125" s="3">
        <f>HYPERLINK("https://sao.dolgi.msk.ru/account/1404090094/", 1404090094)</f>
        <v>1404090094</v>
      </c>
      <c r="F14125">
        <v>0</v>
      </c>
    </row>
    <row r="14126" spans="1:6" hidden="1" x14ac:dyDescent="0.25">
      <c r="A14126" t="s">
        <v>720</v>
      </c>
      <c r="B14126" t="s">
        <v>113</v>
      </c>
      <c r="E14126" s="3">
        <f>HYPERLINK("https://sao.dolgi.msk.ru/account/1404086976/", 1404086976)</f>
        <v>1404086976</v>
      </c>
      <c r="F14126">
        <v>-4259.8900000000003</v>
      </c>
    </row>
    <row r="14127" spans="1:6" hidden="1" x14ac:dyDescent="0.25">
      <c r="A14127" t="s">
        <v>720</v>
      </c>
      <c r="B14127" t="s">
        <v>114</v>
      </c>
      <c r="E14127" s="3">
        <f>HYPERLINK("https://sao.dolgi.msk.ru/account/1404085287/", 1404085287)</f>
        <v>1404085287</v>
      </c>
      <c r="F14127">
        <v>-4560.91</v>
      </c>
    </row>
    <row r="14128" spans="1:6" hidden="1" x14ac:dyDescent="0.25">
      <c r="A14128" t="s">
        <v>720</v>
      </c>
      <c r="B14128" t="s">
        <v>115</v>
      </c>
      <c r="E14128" s="3">
        <f>HYPERLINK("https://sao.dolgi.msk.ru/account/1404086204/", 1404086204)</f>
        <v>1404086204</v>
      </c>
      <c r="F14128">
        <v>-4553.8</v>
      </c>
    </row>
    <row r="14129" spans="1:6" hidden="1" x14ac:dyDescent="0.25">
      <c r="A14129" t="s">
        <v>720</v>
      </c>
      <c r="B14129" t="s">
        <v>116</v>
      </c>
      <c r="E14129" s="3">
        <f>HYPERLINK("https://sao.dolgi.msk.ru/account/1404089907/", 1404089907)</f>
        <v>1404089907</v>
      </c>
      <c r="F14129">
        <v>-5129.53</v>
      </c>
    </row>
    <row r="14130" spans="1:6" hidden="1" x14ac:dyDescent="0.25">
      <c r="A14130" t="s">
        <v>720</v>
      </c>
      <c r="B14130" t="s">
        <v>117</v>
      </c>
      <c r="E14130" s="3">
        <f>HYPERLINK("https://sao.dolgi.msk.ru/account/1404084786/", 1404084786)</f>
        <v>1404084786</v>
      </c>
      <c r="F14130">
        <v>-5659.12</v>
      </c>
    </row>
    <row r="14131" spans="1:6" hidden="1" x14ac:dyDescent="0.25">
      <c r="A14131" t="s">
        <v>720</v>
      </c>
      <c r="B14131" t="s">
        <v>118</v>
      </c>
      <c r="E14131" s="3">
        <f>HYPERLINK("https://sao.dolgi.msk.ru/account/1404084671/", 1404084671)</f>
        <v>1404084671</v>
      </c>
      <c r="F14131">
        <v>-3699.72</v>
      </c>
    </row>
    <row r="14132" spans="1:6" hidden="1" x14ac:dyDescent="0.25">
      <c r="A14132" t="s">
        <v>720</v>
      </c>
      <c r="B14132" t="s">
        <v>119</v>
      </c>
      <c r="E14132" s="3">
        <f>HYPERLINK("https://sao.dolgi.msk.ru/account/1404088496/", 1404088496)</f>
        <v>1404088496</v>
      </c>
      <c r="F14132">
        <v>-4141.21</v>
      </c>
    </row>
    <row r="14133" spans="1:6" hidden="1" x14ac:dyDescent="0.25">
      <c r="A14133" t="s">
        <v>720</v>
      </c>
      <c r="B14133" t="s">
        <v>120</v>
      </c>
      <c r="E14133" s="3">
        <f>HYPERLINK("https://sao.dolgi.msk.ru/account/1404088752/", 1404088752)</f>
        <v>1404088752</v>
      </c>
      <c r="F14133">
        <v>0</v>
      </c>
    </row>
    <row r="14134" spans="1:6" hidden="1" x14ac:dyDescent="0.25">
      <c r="A14134" t="s">
        <v>720</v>
      </c>
      <c r="B14134" t="s">
        <v>121</v>
      </c>
      <c r="E14134" s="3">
        <f>HYPERLINK("https://sao.dolgi.msk.ru/account/1404086984/", 1404086984)</f>
        <v>1404086984</v>
      </c>
      <c r="F14134">
        <v>-5764.73</v>
      </c>
    </row>
    <row r="14135" spans="1:6" hidden="1" x14ac:dyDescent="0.25">
      <c r="A14135" t="s">
        <v>720</v>
      </c>
      <c r="B14135" t="s">
        <v>122</v>
      </c>
      <c r="E14135" s="3">
        <f>HYPERLINK("https://sao.dolgi.msk.ru/account/1404084735/", 1404084735)</f>
        <v>1404084735</v>
      </c>
      <c r="F14135">
        <v>-3623.94</v>
      </c>
    </row>
    <row r="14136" spans="1:6" hidden="1" x14ac:dyDescent="0.25">
      <c r="A14136" t="s">
        <v>720</v>
      </c>
      <c r="B14136" t="s">
        <v>123</v>
      </c>
      <c r="E14136" s="3">
        <f>HYPERLINK("https://sao.dolgi.msk.ru/account/1404089034/", 1404089034)</f>
        <v>1404089034</v>
      </c>
      <c r="F14136">
        <v>-5636.52</v>
      </c>
    </row>
    <row r="14137" spans="1:6" hidden="1" x14ac:dyDescent="0.25">
      <c r="A14137" t="s">
        <v>720</v>
      </c>
      <c r="B14137" t="s">
        <v>124</v>
      </c>
      <c r="E14137" s="3">
        <f>HYPERLINK("https://sao.dolgi.msk.ru/account/1404088074/", 1404088074)</f>
        <v>1404088074</v>
      </c>
      <c r="F14137">
        <v>-6202.56</v>
      </c>
    </row>
    <row r="14138" spans="1:6" hidden="1" x14ac:dyDescent="0.25">
      <c r="A14138" t="s">
        <v>720</v>
      </c>
      <c r="B14138" t="s">
        <v>125</v>
      </c>
      <c r="E14138" s="3">
        <f>HYPERLINK("https://sao.dolgi.msk.ru/account/1404087012/", 1404087012)</f>
        <v>1404087012</v>
      </c>
      <c r="F14138">
        <v>0</v>
      </c>
    </row>
    <row r="14139" spans="1:6" hidden="1" x14ac:dyDescent="0.25">
      <c r="A14139" t="s">
        <v>720</v>
      </c>
      <c r="B14139" t="s">
        <v>126</v>
      </c>
      <c r="E14139" s="3">
        <f>HYPERLINK("https://sao.dolgi.msk.ru/account/1404087231/", 1404087231)</f>
        <v>1404087231</v>
      </c>
      <c r="F14139">
        <v>-3124.27</v>
      </c>
    </row>
    <row r="14140" spans="1:6" hidden="1" x14ac:dyDescent="0.25">
      <c r="A14140" t="s">
        <v>720</v>
      </c>
      <c r="B14140" t="s">
        <v>127</v>
      </c>
      <c r="E14140" s="3">
        <f>HYPERLINK("https://sao.dolgi.msk.ru/account/1404084989/", 1404084989)</f>
        <v>1404084989</v>
      </c>
      <c r="F14140">
        <v>-16540.93</v>
      </c>
    </row>
    <row r="14141" spans="1:6" hidden="1" x14ac:dyDescent="0.25">
      <c r="A14141" t="s">
        <v>720</v>
      </c>
      <c r="B14141" t="s">
        <v>128</v>
      </c>
      <c r="E14141" s="3">
        <f>HYPERLINK("https://sao.dolgi.msk.ru/account/1404086343/", 1404086343)</f>
        <v>1404086343</v>
      </c>
      <c r="F14141">
        <v>-4154.58</v>
      </c>
    </row>
    <row r="14142" spans="1:6" x14ac:dyDescent="0.25">
      <c r="A14142" t="s">
        <v>720</v>
      </c>
      <c r="B14142" t="s">
        <v>129</v>
      </c>
      <c r="C14142" s="5" t="str">
        <f t="shared" ref="C14142:C14143" si="567">" кв. "&amp;B14142</f>
        <v xml:space="preserve"> кв. 125</v>
      </c>
      <c r="D14142" s="5" t="str">
        <f>CONCATENATE(A14142,C14142)</f>
        <v>Фестивальная ул., дом 41 к.4 кв. 125</v>
      </c>
      <c r="E14142" s="3">
        <f>HYPERLINK("https://sao.dolgi.msk.ru/account/1404087362/", 1404087362)</f>
        <v>1404087362</v>
      </c>
      <c r="F14142">
        <v>1373.31</v>
      </c>
    </row>
    <row r="14143" spans="1:6" x14ac:dyDescent="0.25">
      <c r="A14143" t="s">
        <v>720</v>
      </c>
      <c r="B14143" t="s">
        <v>130</v>
      </c>
      <c r="C14143" s="5" t="str">
        <f t="shared" si="567"/>
        <v xml:space="preserve"> кв. 126</v>
      </c>
      <c r="D14143" s="5" t="str">
        <f>CONCATENATE(A14143,C14143)</f>
        <v>Фестивальная ул., дом 41 к.4 кв. 126</v>
      </c>
      <c r="E14143" s="3">
        <f>HYPERLINK("https://sao.dolgi.msk.ru/account/1404089288/", 1404089288)</f>
        <v>1404089288</v>
      </c>
      <c r="F14143">
        <v>16249.92</v>
      </c>
    </row>
    <row r="14144" spans="1:6" hidden="1" x14ac:dyDescent="0.25">
      <c r="A14144" t="s">
        <v>720</v>
      </c>
      <c r="B14144" t="s">
        <v>131</v>
      </c>
      <c r="E14144" s="3">
        <f>HYPERLINK("https://sao.dolgi.msk.ru/account/1404090334/", 1404090334)</f>
        <v>1404090334</v>
      </c>
      <c r="F14144">
        <v>0</v>
      </c>
    </row>
    <row r="14145" spans="1:6" hidden="1" x14ac:dyDescent="0.25">
      <c r="A14145" t="s">
        <v>720</v>
      </c>
      <c r="B14145" t="s">
        <v>132</v>
      </c>
      <c r="E14145" s="3">
        <f>HYPERLINK("https://sao.dolgi.msk.ru/account/1404086626/", 1404086626)</f>
        <v>1404086626</v>
      </c>
      <c r="F14145">
        <v>-3207.51</v>
      </c>
    </row>
    <row r="14146" spans="1:6" hidden="1" x14ac:dyDescent="0.25">
      <c r="A14146" t="s">
        <v>720</v>
      </c>
      <c r="B14146" t="s">
        <v>133</v>
      </c>
      <c r="E14146" s="3">
        <f>HYPERLINK("https://sao.dolgi.msk.ru/account/1404086642/", 1404086642)</f>
        <v>1404086642</v>
      </c>
      <c r="F14146">
        <v>-3956.09</v>
      </c>
    </row>
    <row r="14147" spans="1:6" hidden="1" x14ac:dyDescent="0.25">
      <c r="A14147" t="s">
        <v>720</v>
      </c>
      <c r="B14147" t="s">
        <v>134</v>
      </c>
      <c r="E14147" s="3">
        <f>HYPERLINK("https://sao.dolgi.msk.ru/account/1404088592/", 1404088592)</f>
        <v>1404088592</v>
      </c>
      <c r="F14147">
        <v>-403.78</v>
      </c>
    </row>
    <row r="14148" spans="1:6" hidden="1" x14ac:dyDescent="0.25">
      <c r="A14148" t="s">
        <v>720</v>
      </c>
      <c r="B14148" t="s">
        <v>135</v>
      </c>
      <c r="E14148" s="3">
        <f>HYPERLINK("https://sao.dolgi.msk.ru/account/1404087418/", 1404087418)</f>
        <v>1404087418</v>
      </c>
      <c r="F14148">
        <v>-5746.97</v>
      </c>
    </row>
    <row r="14149" spans="1:6" hidden="1" x14ac:dyDescent="0.25">
      <c r="A14149" t="s">
        <v>720</v>
      </c>
      <c r="B14149" t="s">
        <v>136</v>
      </c>
      <c r="E14149" s="3">
        <f>HYPERLINK("https://sao.dolgi.msk.ru/account/1404087434/", 1404087434)</f>
        <v>1404087434</v>
      </c>
      <c r="F14149">
        <v>-3272.47</v>
      </c>
    </row>
    <row r="14150" spans="1:6" hidden="1" x14ac:dyDescent="0.25">
      <c r="A14150" t="s">
        <v>720</v>
      </c>
      <c r="B14150" t="s">
        <v>137</v>
      </c>
      <c r="E14150" s="3">
        <f>HYPERLINK("https://sao.dolgi.msk.ru/account/1404090377/", 1404090377)</f>
        <v>1404090377</v>
      </c>
      <c r="F14150">
        <v>-1564.66</v>
      </c>
    </row>
    <row r="14151" spans="1:6" x14ac:dyDescent="0.25">
      <c r="A14151" t="s">
        <v>720</v>
      </c>
      <c r="B14151" t="s">
        <v>138</v>
      </c>
      <c r="C14151" s="5" t="str">
        <f>" кв. "&amp;B14151</f>
        <v xml:space="preserve"> кв. 134</v>
      </c>
      <c r="D14151" s="5" t="str">
        <f>CONCATENATE(A14151,C14151)</f>
        <v>Фестивальная ул., дом 41 к.4 кв. 134</v>
      </c>
      <c r="E14151" s="3">
        <f>HYPERLINK("https://sao.dolgi.msk.ru/account/1404100731/", 1404100731)</f>
        <v>1404100731</v>
      </c>
      <c r="F14151">
        <v>19205.919999999998</v>
      </c>
    </row>
    <row r="14152" spans="1:6" hidden="1" x14ac:dyDescent="0.25">
      <c r="A14152" t="s">
        <v>720</v>
      </c>
      <c r="B14152" t="s">
        <v>139</v>
      </c>
      <c r="E14152" s="3">
        <f>HYPERLINK("https://sao.dolgi.msk.ru/account/1404089018/", 1404089018)</f>
        <v>1404089018</v>
      </c>
      <c r="F14152">
        <v>-6469.35</v>
      </c>
    </row>
    <row r="14153" spans="1:6" x14ac:dyDescent="0.25">
      <c r="A14153" t="s">
        <v>720</v>
      </c>
      <c r="B14153" t="s">
        <v>140</v>
      </c>
      <c r="C14153" s="5" t="str">
        <f>" кв. "&amp;B14153</f>
        <v xml:space="preserve"> кв. 136</v>
      </c>
      <c r="D14153" s="5" t="str">
        <f>CONCATENATE(A14153,C14153)</f>
        <v>Фестивальная ул., дом 41 к.4 кв. 136</v>
      </c>
      <c r="E14153" s="3">
        <f>HYPERLINK("https://sao.dolgi.msk.ru/account/1404086765/", 1404086765)</f>
        <v>1404086765</v>
      </c>
      <c r="F14153">
        <v>16838.73</v>
      </c>
    </row>
    <row r="14154" spans="1:6" hidden="1" x14ac:dyDescent="0.25">
      <c r="A14154" t="s">
        <v>720</v>
      </c>
      <c r="B14154" t="s">
        <v>141</v>
      </c>
      <c r="E14154" s="3">
        <f>HYPERLINK("https://sao.dolgi.msk.ru/account/1404084604/", 1404084604)</f>
        <v>1404084604</v>
      </c>
      <c r="F14154">
        <v>-3411.89</v>
      </c>
    </row>
    <row r="14155" spans="1:6" hidden="1" x14ac:dyDescent="0.25">
      <c r="A14155" t="s">
        <v>720</v>
      </c>
      <c r="B14155" t="s">
        <v>142</v>
      </c>
      <c r="E14155" s="3">
        <f>HYPERLINK("https://sao.dolgi.msk.ru/account/1404087653/", 1404087653)</f>
        <v>1404087653</v>
      </c>
      <c r="F14155">
        <v>-3707.78</v>
      </c>
    </row>
    <row r="14156" spans="1:6" hidden="1" x14ac:dyDescent="0.25">
      <c r="A14156" t="s">
        <v>720</v>
      </c>
      <c r="B14156" t="s">
        <v>143</v>
      </c>
      <c r="E14156" s="3">
        <f>HYPERLINK("https://sao.dolgi.msk.ru/account/1404087194/", 1404087194)</f>
        <v>1404087194</v>
      </c>
      <c r="F14156">
        <v>-3641.7</v>
      </c>
    </row>
    <row r="14157" spans="1:6" hidden="1" x14ac:dyDescent="0.25">
      <c r="A14157" t="s">
        <v>720</v>
      </c>
      <c r="B14157" t="s">
        <v>144</v>
      </c>
      <c r="E14157" s="3">
        <f>HYPERLINK("https://sao.dolgi.msk.ru/account/1404150464/", 1404150464)</f>
        <v>1404150464</v>
      </c>
      <c r="F14157">
        <v>-10280.27</v>
      </c>
    </row>
    <row r="14158" spans="1:6" hidden="1" x14ac:dyDescent="0.25">
      <c r="A14158" t="s">
        <v>720</v>
      </c>
      <c r="B14158" t="s">
        <v>145</v>
      </c>
      <c r="E14158" s="3">
        <f>HYPERLINK("https://sao.dolgi.msk.ru/account/1404084583/", 1404084583)</f>
        <v>1404084583</v>
      </c>
      <c r="F14158">
        <v>-4711.29</v>
      </c>
    </row>
    <row r="14159" spans="1:6" hidden="1" x14ac:dyDescent="0.25">
      <c r="A14159" t="s">
        <v>720</v>
      </c>
      <c r="B14159" t="s">
        <v>146</v>
      </c>
      <c r="E14159" s="3">
        <f>HYPERLINK("https://sao.dolgi.msk.ru/account/1404087661/", 1404087661)</f>
        <v>1404087661</v>
      </c>
      <c r="F14159">
        <v>0</v>
      </c>
    </row>
    <row r="14160" spans="1:6" x14ac:dyDescent="0.25">
      <c r="A14160" t="s">
        <v>720</v>
      </c>
      <c r="B14160" t="s">
        <v>147</v>
      </c>
      <c r="C14160" s="5" t="str">
        <f t="shared" ref="C14160:C14161" si="568">" кв. "&amp;B14160</f>
        <v xml:space="preserve"> кв. 143</v>
      </c>
      <c r="D14160" s="5" t="str">
        <f>CONCATENATE(A14160,C14160)</f>
        <v>Фестивальная ул., дом 41 к.4 кв. 143</v>
      </c>
      <c r="E14160" s="3">
        <f>HYPERLINK("https://sao.dolgi.msk.ru/account/1404087506/", 1404087506)</f>
        <v>1404087506</v>
      </c>
      <c r="F14160">
        <v>3.35</v>
      </c>
    </row>
    <row r="14161" spans="1:6" x14ac:dyDescent="0.25">
      <c r="A14161" t="s">
        <v>720</v>
      </c>
      <c r="B14161" t="s">
        <v>148</v>
      </c>
      <c r="C14161" s="5" t="str">
        <f t="shared" si="568"/>
        <v xml:space="preserve"> кв. 144</v>
      </c>
      <c r="D14161" s="5" t="str">
        <f>CONCATENATE(A14161,C14161)</f>
        <v>Фестивальная ул., дом 41 к.4 кв. 144</v>
      </c>
      <c r="E14161" s="3">
        <f>HYPERLINK("https://sao.dolgi.msk.ru/account/1404087514/", 1404087514)</f>
        <v>1404087514</v>
      </c>
      <c r="F14161">
        <v>4856.01</v>
      </c>
    </row>
    <row r="14162" spans="1:6" hidden="1" x14ac:dyDescent="0.25">
      <c r="A14162" t="s">
        <v>720</v>
      </c>
      <c r="B14162" t="s">
        <v>149</v>
      </c>
      <c r="E14162" s="3">
        <f>HYPERLINK("https://sao.dolgi.msk.ru/account/1404087338/", 1404087338)</f>
        <v>1404087338</v>
      </c>
      <c r="F14162">
        <v>-393.58</v>
      </c>
    </row>
    <row r="14163" spans="1:6" x14ac:dyDescent="0.25">
      <c r="A14163" t="s">
        <v>720</v>
      </c>
      <c r="B14163" t="s">
        <v>150</v>
      </c>
      <c r="C14163" s="5" t="str">
        <f t="shared" ref="C14163:C14164" si="569">" кв. "&amp;B14163</f>
        <v xml:space="preserve"> кв. 146</v>
      </c>
      <c r="D14163" s="5" t="str">
        <f>CONCATENATE(A14163,C14163)</f>
        <v>Фестивальная ул., дом 41 к.4 кв. 146</v>
      </c>
      <c r="E14163" s="3">
        <f>HYPERLINK("https://sao.dolgi.msk.ru/account/1404088517/", 1404088517)</f>
        <v>1404088517</v>
      </c>
      <c r="F14163">
        <v>26365.55</v>
      </c>
    </row>
    <row r="14164" spans="1:6" x14ac:dyDescent="0.25">
      <c r="A14164" t="s">
        <v>720</v>
      </c>
      <c r="B14164" t="s">
        <v>151</v>
      </c>
      <c r="C14164" s="5" t="str">
        <f t="shared" si="569"/>
        <v xml:space="preserve"> кв. 147</v>
      </c>
      <c r="D14164" s="5" t="str">
        <f>CONCATENATE(A14164,C14164)</f>
        <v>Фестивальная ул., дом 41 к.4 кв. 147</v>
      </c>
      <c r="E14164" s="3">
        <f>HYPERLINK("https://sao.dolgi.msk.ru/account/1404100782/", 1404100782)</f>
        <v>1404100782</v>
      </c>
      <c r="F14164">
        <v>7677.3</v>
      </c>
    </row>
    <row r="14165" spans="1:6" hidden="1" x14ac:dyDescent="0.25">
      <c r="A14165" t="s">
        <v>720</v>
      </c>
      <c r="B14165" t="s">
        <v>152</v>
      </c>
      <c r="E14165" s="3">
        <f>HYPERLINK("https://sao.dolgi.msk.ru/account/1404088904/", 1404088904)</f>
        <v>1404088904</v>
      </c>
      <c r="F14165">
        <v>-2888.98</v>
      </c>
    </row>
    <row r="14166" spans="1:6" hidden="1" x14ac:dyDescent="0.25">
      <c r="A14166" t="s">
        <v>720</v>
      </c>
      <c r="B14166" t="s">
        <v>153</v>
      </c>
      <c r="E14166" s="3">
        <f>HYPERLINK("https://sao.dolgi.msk.ru/account/1404086239/", 1404086239)</f>
        <v>1404086239</v>
      </c>
      <c r="F14166">
        <v>-3517.35</v>
      </c>
    </row>
    <row r="14167" spans="1:6" hidden="1" x14ac:dyDescent="0.25">
      <c r="A14167" t="s">
        <v>720</v>
      </c>
      <c r="B14167" t="s">
        <v>154</v>
      </c>
      <c r="E14167" s="3">
        <f>HYPERLINK("https://sao.dolgi.msk.ru/account/1404085797/", 1404085797)</f>
        <v>1404085797</v>
      </c>
      <c r="F14167">
        <v>-3194.19</v>
      </c>
    </row>
    <row r="14168" spans="1:6" hidden="1" x14ac:dyDescent="0.25">
      <c r="A14168" t="s">
        <v>720</v>
      </c>
      <c r="B14168" t="s">
        <v>155</v>
      </c>
      <c r="E14168" s="3">
        <f>HYPERLINK("https://sao.dolgi.msk.ru/account/1404087266/", 1404087266)</f>
        <v>1404087266</v>
      </c>
      <c r="F14168">
        <v>0</v>
      </c>
    </row>
    <row r="14169" spans="1:6" hidden="1" x14ac:dyDescent="0.25">
      <c r="A14169" t="s">
        <v>720</v>
      </c>
      <c r="B14169" t="s">
        <v>156</v>
      </c>
      <c r="E14169" s="3">
        <f>HYPERLINK("https://sao.dolgi.msk.ru/account/1404086474/", 1404086474)</f>
        <v>1404086474</v>
      </c>
      <c r="F14169">
        <v>-2492.4899999999998</v>
      </c>
    </row>
    <row r="14170" spans="1:6" hidden="1" x14ac:dyDescent="0.25">
      <c r="A14170" t="s">
        <v>720</v>
      </c>
      <c r="B14170" t="s">
        <v>157</v>
      </c>
      <c r="E14170" s="3">
        <f>HYPERLINK("https://sao.dolgi.msk.ru/account/1404088277/", 1404088277)</f>
        <v>1404088277</v>
      </c>
      <c r="F14170">
        <v>-288.32</v>
      </c>
    </row>
    <row r="14171" spans="1:6" hidden="1" x14ac:dyDescent="0.25">
      <c r="A14171" t="s">
        <v>720</v>
      </c>
      <c r="B14171" t="s">
        <v>158</v>
      </c>
      <c r="E14171" s="3">
        <f>HYPERLINK("https://sao.dolgi.msk.ru/account/1404087856/", 1404087856)</f>
        <v>1404087856</v>
      </c>
      <c r="F14171">
        <v>-5531.93</v>
      </c>
    </row>
    <row r="14172" spans="1:6" hidden="1" x14ac:dyDescent="0.25">
      <c r="A14172" t="s">
        <v>720</v>
      </c>
      <c r="B14172" t="s">
        <v>159</v>
      </c>
      <c r="E14172" s="3">
        <f>HYPERLINK("https://sao.dolgi.msk.ru/account/1404085658/", 1404085658)</f>
        <v>1404085658</v>
      </c>
      <c r="F14172">
        <v>-2915.37</v>
      </c>
    </row>
    <row r="14173" spans="1:6" hidden="1" x14ac:dyDescent="0.25">
      <c r="A14173" t="s">
        <v>720</v>
      </c>
      <c r="B14173" t="s">
        <v>160</v>
      </c>
      <c r="E14173" s="3">
        <f>HYPERLINK("https://sao.dolgi.msk.ru/account/1404086212/", 1404086212)</f>
        <v>1404086212</v>
      </c>
      <c r="F14173">
        <v>-7457.69</v>
      </c>
    </row>
    <row r="14174" spans="1:6" hidden="1" x14ac:dyDescent="0.25">
      <c r="A14174" t="s">
        <v>720</v>
      </c>
      <c r="B14174" t="s">
        <v>161</v>
      </c>
      <c r="E14174" s="3">
        <f>HYPERLINK("https://sao.dolgi.msk.ru/account/1404086562/", 1404086562)</f>
        <v>1404086562</v>
      </c>
      <c r="F14174">
        <v>-4254.51</v>
      </c>
    </row>
    <row r="14175" spans="1:6" hidden="1" x14ac:dyDescent="0.25">
      <c r="A14175" t="s">
        <v>720</v>
      </c>
      <c r="B14175" t="s">
        <v>162</v>
      </c>
      <c r="E14175" s="3">
        <f>HYPERLINK("https://sao.dolgi.msk.ru/account/1404084567/", 1404084567)</f>
        <v>1404084567</v>
      </c>
      <c r="F14175">
        <v>-50.27</v>
      </c>
    </row>
    <row r="14176" spans="1:6" hidden="1" x14ac:dyDescent="0.25">
      <c r="A14176" t="s">
        <v>720</v>
      </c>
      <c r="B14176" t="s">
        <v>163</v>
      </c>
      <c r="E14176" s="3">
        <f>HYPERLINK("https://sao.dolgi.msk.ru/account/1404086706/", 1404086706)</f>
        <v>1404086706</v>
      </c>
      <c r="F14176">
        <v>-2680.61</v>
      </c>
    </row>
    <row r="14177" spans="1:6" hidden="1" x14ac:dyDescent="0.25">
      <c r="A14177" t="s">
        <v>720</v>
      </c>
      <c r="B14177" t="s">
        <v>164</v>
      </c>
      <c r="E14177" s="3">
        <f>HYPERLINK("https://sao.dolgi.msk.ru/account/1404086052/", 1404086052)</f>
        <v>1404086052</v>
      </c>
      <c r="F14177">
        <v>-5652.88</v>
      </c>
    </row>
    <row r="14178" spans="1:6" hidden="1" x14ac:dyDescent="0.25">
      <c r="A14178" t="s">
        <v>720</v>
      </c>
      <c r="B14178" t="s">
        <v>165</v>
      </c>
      <c r="E14178" s="3">
        <f>HYPERLINK("https://sao.dolgi.msk.ru/account/1404085973/", 1404085973)</f>
        <v>1404085973</v>
      </c>
      <c r="F14178">
        <v>-19104.47</v>
      </c>
    </row>
    <row r="14179" spans="1:6" hidden="1" x14ac:dyDescent="0.25">
      <c r="A14179" t="s">
        <v>720</v>
      </c>
      <c r="B14179" t="s">
        <v>166</v>
      </c>
      <c r="E14179" s="3">
        <f>HYPERLINK("https://sao.dolgi.msk.ru/account/1404087354/", 1404087354)</f>
        <v>1404087354</v>
      </c>
      <c r="F14179">
        <v>0</v>
      </c>
    </row>
    <row r="14180" spans="1:6" hidden="1" x14ac:dyDescent="0.25">
      <c r="A14180" t="s">
        <v>720</v>
      </c>
      <c r="B14180" t="s">
        <v>167</v>
      </c>
      <c r="E14180" s="3">
        <f>HYPERLINK("https://sao.dolgi.msk.ru/account/1404087565/", 1404087565)</f>
        <v>1404087565</v>
      </c>
      <c r="F14180">
        <v>-1931.81</v>
      </c>
    </row>
    <row r="14181" spans="1:6" hidden="1" x14ac:dyDescent="0.25">
      <c r="A14181" t="s">
        <v>720</v>
      </c>
      <c r="B14181" t="s">
        <v>168</v>
      </c>
      <c r="E14181" s="3">
        <f>HYPERLINK("https://sao.dolgi.msk.ru/account/1404087725/", 1404087725)</f>
        <v>1404087725</v>
      </c>
      <c r="F14181">
        <v>-6772.9</v>
      </c>
    </row>
    <row r="14182" spans="1:6" hidden="1" x14ac:dyDescent="0.25">
      <c r="A14182" t="s">
        <v>720</v>
      </c>
      <c r="B14182" t="s">
        <v>169</v>
      </c>
      <c r="E14182" s="3">
        <f>HYPERLINK("https://sao.dolgi.msk.ru/account/1404086482/", 1404086482)</f>
        <v>1404086482</v>
      </c>
      <c r="F14182">
        <v>0</v>
      </c>
    </row>
    <row r="14183" spans="1:6" hidden="1" x14ac:dyDescent="0.25">
      <c r="A14183" t="s">
        <v>720</v>
      </c>
      <c r="B14183" t="s">
        <v>170</v>
      </c>
      <c r="E14183" s="3">
        <f>HYPERLINK("https://sao.dolgi.msk.ru/account/1404086466/", 1404086466)</f>
        <v>1404086466</v>
      </c>
      <c r="F14183">
        <v>-4501.5</v>
      </c>
    </row>
    <row r="14184" spans="1:6" hidden="1" x14ac:dyDescent="0.25">
      <c r="A14184" t="s">
        <v>720</v>
      </c>
      <c r="B14184" t="s">
        <v>171</v>
      </c>
      <c r="E14184" s="3">
        <f>HYPERLINK("https://sao.dolgi.msk.ru/account/1404087629/", 1404087629)</f>
        <v>1404087629</v>
      </c>
      <c r="F14184">
        <v>-27391.26</v>
      </c>
    </row>
    <row r="14185" spans="1:6" hidden="1" x14ac:dyDescent="0.25">
      <c r="A14185" t="s">
        <v>720</v>
      </c>
      <c r="B14185" t="s">
        <v>172</v>
      </c>
      <c r="E14185" s="3">
        <f>HYPERLINK("https://sao.dolgi.msk.ru/account/1404088867/", 1404088867)</f>
        <v>1404088867</v>
      </c>
      <c r="F14185">
        <v>-1526.6</v>
      </c>
    </row>
    <row r="14186" spans="1:6" hidden="1" x14ac:dyDescent="0.25">
      <c r="A14186" t="s">
        <v>720</v>
      </c>
      <c r="B14186" t="s">
        <v>173</v>
      </c>
      <c r="E14186" s="3">
        <f>HYPERLINK("https://sao.dolgi.msk.ru/account/1404088226/", 1404088226)</f>
        <v>1404088226</v>
      </c>
      <c r="F14186">
        <v>-5042.08</v>
      </c>
    </row>
    <row r="14187" spans="1:6" hidden="1" x14ac:dyDescent="0.25">
      <c r="A14187" t="s">
        <v>720</v>
      </c>
      <c r="B14187" t="s">
        <v>174</v>
      </c>
      <c r="E14187" s="3">
        <f>HYPERLINK("https://sao.dolgi.msk.ru/account/1404088285/", 1404088285)</f>
        <v>1404088285</v>
      </c>
      <c r="F14187">
        <v>-4123.96</v>
      </c>
    </row>
    <row r="14188" spans="1:6" hidden="1" x14ac:dyDescent="0.25">
      <c r="A14188" t="s">
        <v>720</v>
      </c>
      <c r="B14188" t="s">
        <v>175</v>
      </c>
      <c r="E14188" s="3">
        <f>HYPERLINK("https://sao.dolgi.msk.ru/account/1404088613/", 1404088613)</f>
        <v>1404088613</v>
      </c>
      <c r="F14188">
        <v>-9112.36</v>
      </c>
    </row>
    <row r="14189" spans="1:6" hidden="1" x14ac:dyDescent="0.25">
      <c r="A14189" t="s">
        <v>720</v>
      </c>
      <c r="B14189" t="s">
        <v>176</v>
      </c>
      <c r="E14189" s="3">
        <f>HYPERLINK("https://sao.dolgi.msk.ru/account/1404089894/", 1404089894)</f>
        <v>1404089894</v>
      </c>
      <c r="F14189">
        <v>-4857.9399999999996</v>
      </c>
    </row>
    <row r="14190" spans="1:6" hidden="1" x14ac:dyDescent="0.25">
      <c r="A14190" t="s">
        <v>720</v>
      </c>
      <c r="B14190" t="s">
        <v>177</v>
      </c>
      <c r="E14190" s="3">
        <f>HYPERLINK("https://sao.dolgi.msk.ru/account/1404085092/", 1404085092)</f>
        <v>1404085092</v>
      </c>
      <c r="F14190">
        <v>-2143.11</v>
      </c>
    </row>
    <row r="14191" spans="1:6" hidden="1" x14ac:dyDescent="0.25">
      <c r="A14191" t="s">
        <v>720</v>
      </c>
      <c r="B14191" t="s">
        <v>178</v>
      </c>
      <c r="E14191" s="3">
        <f>HYPERLINK("https://sao.dolgi.msk.ru/account/1404086618/", 1404086618)</f>
        <v>1404086618</v>
      </c>
      <c r="F14191">
        <v>-2380.9699999999998</v>
      </c>
    </row>
    <row r="14192" spans="1:6" hidden="1" x14ac:dyDescent="0.25">
      <c r="A14192" t="s">
        <v>720</v>
      </c>
      <c r="B14192" t="s">
        <v>179</v>
      </c>
      <c r="E14192" s="3">
        <f>HYPERLINK("https://sao.dolgi.msk.ru/account/1404088162/", 1404088162)</f>
        <v>1404088162</v>
      </c>
      <c r="F14192">
        <v>0</v>
      </c>
    </row>
    <row r="14193" spans="1:6" hidden="1" x14ac:dyDescent="0.25">
      <c r="A14193" t="s">
        <v>720</v>
      </c>
      <c r="B14193" t="s">
        <v>180</v>
      </c>
      <c r="E14193" s="3">
        <f>HYPERLINK("https://sao.dolgi.msk.ru/account/1404088154/", 1404088154)</f>
        <v>1404088154</v>
      </c>
      <c r="F14193">
        <v>-6814.04</v>
      </c>
    </row>
    <row r="14194" spans="1:6" hidden="1" x14ac:dyDescent="0.25">
      <c r="A14194" t="s">
        <v>720</v>
      </c>
      <c r="B14194" t="s">
        <v>181</v>
      </c>
      <c r="E14194" s="3">
        <f>HYPERLINK("https://sao.dolgi.msk.ru/account/1404087717/", 1404087717)</f>
        <v>1404087717</v>
      </c>
      <c r="F14194">
        <v>-8066.52</v>
      </c>
    </row>
    <row r="14195" spans="1:6" hidden="1" x14ac:dyDescent="0.25">
      <c r="A14195" t="s">
        <v>720</v>
      </c>
      <c r="B14195" t="s">
        <v>182</v>
      </c>
      <c r="E14195" s="3">
        <f>HYPERLINK("https://sao.dolgi.msk.ru/account/1404086685/", 1404086685)</f>
        <v>1404086685</v>
      </c>
      <c r="F14195">
        <v>-3106.38</v>
      </c>
    </row>
    <row r="14196" spans="1:6" hidden="1" x14ac:dyDescent="0.25">
      <c r="A14196" t="s">
        <v>720</v>
      </c>
      <c r="B14196" t="s">
        <v>183</v>
      </c>
      <c r="E14196" s="3">
        <f>HYPERLINK("https://sao.dolgi.msk.ru/account/1404085623/", 1404085623)</f>
        <v>1404085623</v>
      </c>
      <c r="F14196">
        <v>-2114.23</v>
      </c>
    </row>
    <row r="14197" spans="1:6" x14ac:dyDescent="0.25">
      <c r="A14197" t="s">
        <v>720</v>
      </c>
      <c r="B14197" t="s">
        <v>184</v>
      </c>
      <c r="C14197" s="5" t="str">
        <f>" кв. "&amp;B14197</f>
        <v xml:space="preserve"> кв. 180</v>
      </c>
      <c r="D14197" s="5" t="str">
        <f>CONCATENATE(A14197,C14197)</f>
        <v>Фестивальная ул., дом 41 к.4 кв. 180</v>
      </c>
      <c r="E14197" s="3">
        <f>HYPERLINK("https://sao.dolgi.msk.ru/account/1404089245/", 1404089245)</f>
        <v>1404089245</v>
      </c>
      <c r="F14197">
        <v>30613.040000000001</v>
      </c>
    </row>
    <row r="14198" spans="1:6" hidden="1" x14ac:dyDescent="0.25">
      <c r="A14198" t="s">
        <v>720</v>
      </c>
      <c r="B14198" t="s">
        <v>185</v>
      </c>
      <c r="E14198" s="3">
        <f>HYPERLINK("https://sao.dolgi.msk.ru/account/1404089114/", 1404089114)</f>
        <v>1404089114</v>
      </c>
      <c r="F14198">
        <v>-7018.33</v>
      </c>
    </row>
    <row r="14199" spans="1:6" hidden="1" x14ac:dyDescent="0.25">
      <c r="A14199" t="s">
        <v>720</v>
      </c>
      <c r="B14199" t="s">
        <v>186</v>
      </c>
      <c r="E14199" s="3">
        <f>HYPERLINK("https://sao.dolgi.msk.ru/account/1404088082/", 1404088082)</f>
        <v>1404088082</v>
      </c>
      <c r="F14199">
        <v>-2816.3</v>
      </c>
    </row>
    <row r="14200" spans="1:6" x14ac:dyDescent="0.25">
      <c r="A14200" t="s">
        <v>720</v>
      </c>
      <c r="B14200" t="s">
        <v>187</v>
      </c>
      <c r="C14200" s="5" t="str">
        <f t="shared" ref="C14200:C14201" si="570">" кв. "&amp;B14200</f>
        <v xml:space="preserve"> кв. 183</v>
      </c>
      <c r="D14200" s="5" t="str">
        <f>CONCATENATE(A14200,C14200)</f>
        <v>Фестивальная ул., дом 41 к.4 кв. 183</v>
      </c>
      <c r="E14200" s="3">
        <f>HYPERLINK("https://sao.dolgi.msk.ru/account/1404089157/", 1404089157)</f>
        <v>1404089157</v>
      </c>
      <c r="F14200">
        <v>5380.89</v>
      </c>
    </row>
    <row r="14201" spans="1:6" x14ac:dyDescent="0.25">
      <c r="A14201" t="s">
        <v>720</v>
      </c>
      <c r="B14201" t="s">
        <v>188</v>
      </c>
      <c r="C14201" s="5" t="str">
        <f t="shared" si="570"/>
        <v xml:space="preserve"> кв. 184</v>
      </c>
      <c r="D14201" s="5" t="str">
        <f>CONCATENATE(A14201,C14201)</f>
        <v>Фестивальная ул., дом 41 к.4 кв. 184</v>
      </c>
      <c r="E14201" s="3">
        <f>HYPERLINK("https://sao.dolgi.msk.ru/account/1404086845/", 1404086845)</f>
        <v>1404086845</v>
      </c>
      <c r="F14201">
        <v>10189.469999999999</v>
      </c>
    </row>
    <row r="14202" spans="1:6" hidden="1" x14ac:dyDescent="0.25">
      <c r="A14202" t="s">
        <v>720</v>
      </c>
      <c r="B14202" t="s">
        <v>189</v>
      </c>
      <c r="E14202" s="3">
        <f>HYPERLINK("https://sao.dolgi.msk.ru/account/1404086861/", 1404086861)</f>
        <v>1404086861</v>
      </c>
      <c r="F14202">
        <v>0</v>
      </c>
    </row>
    <row r="14203" spans="1:6" hidden="1" x14ac:dyDescent="0.25">
      <c r="A14203" t="s">
        <v>720</v>
      </c>
      <c r="B14203" t="s">
        <v>190</v>
      </c>
      <c r="E14203" s="3">
        <f>HYPERLINK("https://sao.dolgi.msk.ru/account/1404085906/", 1404085906)</f>
        <v>1404085906</v>
      </c>
      <c r="F14203">
        <v>-6675.95</v>
      </c>
    </row>
    <row r="14204" spans="1:6" x14ac:dyDescent="0.25">
      <c r="A14204" t="s">
        <v>720</v>
      </c>
      <c r="B14204" t="s">
        <v>191</v>
      </c>
      <c r="C14204" s="5" t="str">
        <f>" кв. "&amp;B14204</f>
        <v xml:space="preserve"> кв. 187</v>
      </c>
      <c r="D14204" s="5" t="str">
        <f>CONCATENATE(A14204,C14204)</f>
        <v>Фестивальная ул., дом 41 к.4 кв. 187</v>
      </c>
      <c r="E14204" s="3">
        <f>HYPERLINK("https://sao.dolgi.msk.ru/account/1404089931/", 1404089931)</f>
        <v>1404089931</v>
      </c>
      <c r="F14204">
        <v>3252</v>
      </c>
    </row>
    <row r="14205" spans="1:6" hidden="1" x14ac:dyDescent="0.25">
      <c r="A14205" t="s">
        <v>720</v>
      </c>
      <c r="B14205" t="s">
        <v>192</v>
      </c>
      <c r="E14205" s="3">
        <f>HYPERLINK("https://sao.dolgi.msk.ru/account/1404088672/", 1404088672)</f>
        <v>1404088672</v>
      </c>
      <c r="F14205">
        <v>-4003.06</v>
      </c>
    </row>
    <row r="14206" spans="1:6" x14ac:dyDescent="0.25">
      <c r="A14206" t="s">
        <v>720</v>
      </c>
      <c r="B14206" t="s">
        <v>193</v>
      </c>
      <c r="C14206" s="5" t="str">
        <f t="shared" ref="C14206:C14207" si="571">" кв. "&amp;B14206</f>
        <v xml:space="preserve"> кв. 189</v>
      </c>
      <c r="D14206" s="5" t="str">
        <f>CONCATENATE(A14206,C14206)</f>
        <v>Фестивальная ул., дом 41 к.4 кв. 189</v>
      </c>
      <c r="E14206" s="3">
        <f>HYPERLINK("https://sao.dolgi.msk.ru/account/1404085789/", 1404085789)</f>
        <v>1404085789</v>
      </c>
      <c r="F14206">
        <v>1934.27</v>
      </c>
    </row>
    <row r="14207" spans="1:6" x14ac:dyDescent="0.25">
      <c r="A14207" t="s">
        <v>720</v>
      </c>
      <c r="B14207" t="s">
        <v>194</v>
      </c>
      <c r="C14207" s="5" t="str">
        <f t="shared" si="571"/>
        <v xml:space="preserve"> кв. 190</v>
      </c>
      <c r="D14207" s="5" t="str">
        <f>CONCATENATE(A14207,C14207)</f>
        <v>Фестивальная ул., дом 41 к.4 кв. 190</v>
      </c>
      <c r="E14207" s="3">
        <f>HYPERLINK("https://sao.dolgi.msk.ru/account/1404090123/", 1404090123)</f>
        <v>1404090123</v>
      </c>
      <c r="F14207">
        <v>5572.36</v>
      </c>
    </row>
    <row r="14208" spans="1:6" hidden="1" x14ac:dyDescent="0.25">
      <c r="A14208" t="s">
        <v>720</v>
      </c>
      <c r="B14208" t="s">
        <v>195</v>
      </c>
      <c r="E14208" s="3">
        <f>HYPERLINK("https://sao.dolgi.msk.ru/account/1404089499/", 1404089499)</f>
        <v>1404089499</v>
      </c>
      <c r="F14208">
        <v>-8916.76</v>
      </c>
    </row>
    <row r="14209" spans="1:6" hidden="1" x14ac:dyDescent="0.25">
      <c r="A14209" t="s">
        <v>720</v>
      </c>
      <c r="B14209" t="s">
        <v>196</v>
      </c>
      <c r="E14209" s="3">
        <f>HYPERLINK("https://sao.dolgi.msk.ru/account/1404088795/", 1404088795)</f>
        <v>1404088795</v>
      </c>
      <c r="F14209">
        <v>-5190.57</v>
      </c>
    </row>
    <row r="14210" spans="1:6" hidden="1" x14ac:dyDescent="0.25">
      <c r="A14210" t="s">
        <v>720</v>
      </c>
      <c r="B14210" t="s">
        <v>197</v>
      </c>
      <c r="E14210" s="3">
        <f>HYPERLINK("https://sao.dolgi.msk.ru/account/1404085869/", 1404085869)</f>
        <v>1404085869</v>
      </c>
      <c r="F14210">
        <v>-1691.61</v>
      </c>
    </row>
    <row r="14211" spans="1:6" hidden="1" x14ac:dyDescent="0.25">
      <c r="A14211" t="s">
        <v>720</v>
      </c>
      <c r="B14211" t="s">
        <v>198</v>
      </c>
      <c r="E14211" s="3">
        <f>HYPERLINK("https://sao.dolgi.msk.ru/account/1404088138/", 1404088138)</f>
        <v>1404088138</v>
      </c>
      <c r="F14211">
        <v>-1374.67</v>
      </c>
    </row>
    <row r="14212" spans="1:6" x14ac:dyDescent="0.25">
      <c r="A14212" t="s">
        <v>720</v>
      </c>
      <c r="B14212" t="s">
        <v>199</v>
      </c>
      <c r="C14212" s="5" t="str">
        <f>" кв. "&amp;B14212</f>
        <v xml:space="preserve"> кв. 195</v>
      </c>
      <c r="D14212" s="5" t="str">
        <f>CONCATENATE(A14212,C14212)</f>
        <v>Фестивальная ул., дом 41 к.4 кв. 195</v>
      </c>
      <c r="E14212" s="3">
        <f>HYPERLINK("https://sao.dolgi.msk.ru/account/1404085084/", 1404085084)</f>
        <v>1404085084</v>
      </c>
      <c r="F14212">
        <v>2683.5</v>
      </c>
    </row>
    <row r="14213" spans="1:6" hidden="1" x14ac:dyDescent="0.25">
      <c r="A14213" t="s">
        <v>720</v>
      </c>
      <c r="B14213" t="s">
        <v>200</v>
      </c>
      <c r="E14213" s="3">
        <f>HYPERLINK("https://sao.dolgi.msk.ru/account/1404088197/", 1404088197)</f>
        <v>1404088197</v>
      </c>
      <c r="F14213">
        <v>-6549.71</v>
      </c>
    </row>
    <row r="14214" spans="1:6" hidden="1" x14ac:dyDescent="0.25">
      <c r="A14214" t="s">
        <v>720</v>
      </c>
      <c r="B14214" t="s">
        <v>201</v>
      </c>
      <c r="E14214" s="3">
        <f>HYPERLINK("https://sao.dolgi.msk.ru/account/1404085607/", 1404085607)</f>
        <v>1404085607</v>
      </c>
      <c r="F14214">
        <v>-7472.53</v>
      </c>
    </row>
    <row r="14215" spans="1:6" hidden="1" x14ac:dyDescent="0.25">
      <c r="A14215" t="s">
        <v>720</v>
      </c>
      <c r="B14215" t="s">
        <v>202</v>
      </c>
      <c r="E14215" s="3">
        <f>HYPERLINK("https://sao.dolgi.msk.ru/account/1404088699/", 1404088699)</f>
        <v>1404088699</v>
      </c>
      <c r="F14215">
        <v>-1868.52</v>
      </c>
    </row>
    <row r="14216" spans="1:6" hidden="1" x14ac:dyDescent="0.25">
      <c r="A14216" t="s">
        <v>720</v>
      </c>
      <c r="B14216" t="s">
        <v>203</v>
      </c>
      <c r="E14216" s="3">
        <f>HYPERLINK("https://sao.dolgi.msk.ru/account/1404088058/", 1404088058)</f>
        <v>1404088058</v>
      </c>
      <c r="F14216">
        <v>-5138.91</v>
      </c>
    </row>
    <row r="14217" spans="1:6" hidden="1" x14ac:dyDescent="0.25">
      <c r="A14217" t="s">
        <v>720</v>
      </c>
      <c r="B14217" t="s">
        <v>204</v>
      </c>
      <c r="E14217" s="3">
        <f>HYPERLINK("https://sao.dolgi.msk.ru/account/1404085818/", 1404085818)</f>
        <v>1404085818</v>
      </c>
      <c r="F14217">
        <v>-2431.8000000000002</v>
      </c>
    </row>
    <row r="14218" spans="1:6" x14ac:dyDescent="0.25">
      <c r="A14218" t="s">
        <v>720</v>
      </c>
      <c r="B14218" t="s">
        <v>205</v>
      </c>
      <c r="C14218" s="5" t="str">
        <f>" кв. "&amp;B14218</f>
        <v xml:space="preserve"> кв. 201</v>
      </c>
      <c r="D14218" s="5" t="str">
        <f>CONCATENATE(A14218,C14218)</f>
        <v>Фестивальная ул., дом 41 к.4 кв. 201</v>
      </c>
      <c r="E14218" s="3">
        <f>HYPERLINK("https://sao.dolgi.msk.ru/account/1404087274/", 1404087274)</f>
        <v>1404087274</v>
      </c>
      <c r="F14218">
        <v>10672.99</v>
      </c>
    </row>
    <row r="14219" spans="1:6" hidden="1" x14ac:dyDescent="0.25">
      <c r="A14219" t="s">
        <v>720</v>
      </c>
      <c r="B14219" t="s">
        <v>206</v>
      </c>
      <c r="E14219" s="3">
        <f>HYPERLINK("https://sao.dolgi.msk.ru/account/1404085519/", 1404085519)</f>
        <v>1404085519</v>
      </c>
      <c r="F14219">
        <v>-4322.59</v>
      </c>
    </row>
    <row r="14220" spans="1:6" x14ac:dyDescent="0.25">
      <c r="A14220" t="s">
        <v>720</v>
      </c>
      <c r="B14220" t="s">
        <v>207</v>
      </c>
      <c r="C14220" s="5" t="str">
        <f>" кв. "&amp;B14220</f>
        <v xml:space="preserve"> кв. 203</v>
      </c>
      <c r="D14220" s="5" t="str">
        <f>CONCATENATE(A14220,C14220)</f>
        <v>Фестивальная ул., дом 41 к.4 кв. 203</v>
      </c>
      <c r="E14220" s="3">
        <f>HYPERLINK("https://sao.dolgi.msk.ru/account/1404084292/", 1404084292)</f>
        <v>1404084292</v>
      </c>
      <c r="F14220">
        <v>67916.14</v>
      </c>
    </row>
    <row r="14221" spans="1:6" hidden="1" x14ac:dyDescent="0.25">
      <c r="A14221" t="s">
        <v>720</v>
      </c>
      <c r="B14221" t="s">
        <v>208</v>
      </c>
      <c r="E14221" s="3">
        <f>HYPERLINK("https://sao.dolgi.msk.ru/account/1404086255/", 1404086255)</f>
        <v>1404086255</v>
      </c>
      <c r="F14221">
        <v>0</v>
      </c>
    </row>
    <row r="14222" spans="1:6" hidden="1" x14ac:dyDescent="0.25">
      <c r="A14222" t="s">
        <v>720</v>
      </c>
      <c r="B14222" t="s">
        <v>209</v>
      </c>
      <c r="E14222" s="3">
        <f>HYPERLINK("https://sao.dolgi.msk.ru/account/1404086327/", 1404086327)</f>
        <v>1404086327</v>
      </c>
      <c r="F14222">
        <v>-5404.61</v>
      </c>
    </row>
    <row r="14223" spans="1:6" hidden="1" x14ac:dyDescent="0.25">
      <c r="A14223" t="s">
        <v>720</v>
      </c>
      <c r="B14223" t="s">
        <v>210</v>
      </c>
      <c r="E14223" s="3">
        <f>HYPERLINK("https://sao.dolgi.msk.ru/account/1404086781/", 1404086781)</f>
        <v>1404086781</v>
      </c>
      <c r="F14223">
        <v>-4652.82</v>
      </c>
    </row>
    <row r="14224" spans="1:6" hidden="1" x14ac:dyDescent="0.25">
      <c r="A14224" t="s">
        <v>720</v>
      </c>
      <c r="B14224" t="s">
        <v>211</v>
      </c>
      <c r="E14224" s="3">
        <f>HYPERLINK("https://sao.dolgi.msk.ru/account/1404085877/", 1404085877)</f>
        <v>1404085877</v>
      </c>
      <c r="F14224">
        <v>-2854.86</v>
      </c>
    </row>
    <row r="14225" spans="1:6" hidden="1" x14ac:dyDescent="0.25">
      <c r="A14225" t="s">
        <v>720</v>
      </c>
      <c r="B14225" t="s">
        <v>212</v>
      </c>
      <c r="E14225" s="3">
        <f>HYPERLINK("https://sao.dolgi.msk.ru/account/1404090107/", 1404090107)</f>
        <v>1404090107</v>
      </c>
      <c r="F14225">
        <v>-4876.03</v>
      </c>
    </row>
    <row r="14226" spans="1:6" hidden="1" x14ac:dyDescent="0.25">
      <c r="A14226" t="s">
        <v>720</v>
      </c>
      <c r="B14226" t="s">
        <v>213</v>
      </c>
      <c r="E14226" s="3">
        <f>HYPERLINK("https://sao.dolgi.msk.ru/account/1404085746/", 1404085746)</f>
        <v>1404085746</v>
      </c>
      <c r="F14226">
        <v>0</v>
      </c>
    </row>
    <row r="14227" spans="1:6" hidden="1" x14ac:dyDescent="0.25">
      <c r="A14227" t="s">
        <v>720</v>
      </c>
      <c r="B14227" t="s">
        <v>214</v>
      </c>
      <c r="E14227" s="3">
        <f>HYPERLINK("https://sao.dolgi.msk.ru/account/1404086933/", 1404086933)</f>
        <v>1404086933</v>
      </c>
      <c r="F14227">
        <v>-3165.34</v>
      </c>
    </row>
    <row r="14228" spans="1:6" hidden="1" x14ac:dyDescent="0.25">
      <c r="A14228" t="s">
        <v>720</v>
      </c>
      <c r="B14228" t="s">
        <v>215</v>
      </c>
      <c r="E14228" s="3">
        <f>HYPERLINK("https://sao.dolgi.msk.ru/account/1404085172/", 1404085172)</f>
        <v>1404085172</v>
      </c>
      <c r="F14228">
        <v>0</v>
      </c>
    </row>
    <row r="14229" spans="1:6" hidden="1" x14ac:dyDescent="0.25">
      <c r="A14229" t="s">
        <v>720</v>
      </c>
      <c r="B14229" t="s">
        <v>216</v>
      </c>
      <c r="E14229" s="3">
        <f>HYPERLINK("https://sao.dolgi.msk.ru/account/1404086853/", 1404086853)</f>
        <v>1404086853</v>
      </c>
      <c r="F14229">
        <v>-257.99</v>
      </c>
    </row>
    <row r="14230" spans="1:6" hidden="1" x14ac:dyDescent="0.25">
      <c r="A14230" t="s">
        <v>720</v>
      </c>
      <c r="B14230" t="s">
        <v>217</v>
      </c>
      <c r="E14230" s="3">
        <f>HYPERLINK("https://sao.dolgi.msk.ru/account/1404086693/", 1404086693)</f>
        <v>1404086693</v>
      </c>
      <c r="F14230">
        <v>-2291.84</v>
      </c>
    </row>
    <row r="14231" spans="1:6" hidden="1" x14ac:dyDescent="0.25">
      <c r="A14231" t="s">
        <v>720</v>
      </c>
      <c r="B14231" t="s">
        <v>218</v>
      </c>
      <c r="E14231" s="3">
        <f>HYPERLINK("https://sao.dolgi.msk.ru/account/1404089544/", 1404089544)</f>
        <v>1404089544</v>
      </c>
      <c r="F14231">
        <v>-3105.25</v>
      </c>
    </row>
    <row r="14232" spans="1:6" hidden="1" x14ac:dyDescent="0.25">
      <c r="A14232" t="s">
        <v>720</v>
      </c>
      <c r="B14232" t="s">
        <v>219</v>
      </c>
      <c r="E14232" s="3">
        <f>HYPERLINK("https://sao.dolgi.msk.ru/account/1404087004/", 1404087004)</f>
        <v>1404087004</v>
      </c>
      <c r="F14232">
        <v>0</v>
      </c>
    </row>
    <row r="14233" spans="1:6" hidden="1" x14ac:dyDescent="0.25">
      <c r="A14233" t="s">
        <v>720</v>
      </c>
      <c r="B14233" t="s">
        <v>220</v>
      </c>
      <c r="E14233" s="3">
        <f>HYPERLINK("https://sao.dolgi.msk.ru/account/1404085316/", 1404085316)</f>
        <v>1404085316</v>
      </c>
      <c r="F14233">
        <v>-3780.42</v>
      </c>
    </row>
    <row r="14234" spans="1:6" hidden="1" x14ac:dyDescent="0.25">
      <c r="A14234" t="s">
        <v>720</v>
      </c>
      <c r="B14234" t="s">
        <v>221</v>
      </c>
      <c r="E14234" s="3">
        <f>HYPERLINK("https://sao.dolgi.msk.ru/account/1404085324/", 1404085324)</f>
        <v>1404085324</v>
      </c>
      <c r="F14234">
        <v>-16555.28</v>
      </c>
    </row>
    <row r="14235" spans="1:6" hidden="1" x14ac:dyDescent="0.25">
      <c r="A14235" t="s">
        <v>720</v>
      </c>
      <c r="B14235" t="s">
        <v>222</v>
      </c>
      <c r="E14235" s="3">
        <f>HYPERLINK("https://sao.dolgi.msk.ru/account/1404086458/", 1404086458)</f>
        <v>1404086458</v>
      </c>
      <c r="F14235">
        <v>-6028.54</v>
      </c>
    </row>
    <row r="14236" spans="1:6" hidden="1" x14ac:dyDescent="0.25">
      <c r="A14236" t="s">
        <v>720</v>
      </c>
      <c r="B14236" t="s">
        <v>223</v>
      </c>
      <c r="E14236" s="3">
        <f>HYPERLINK("https://sao.dolgi.msk.ru/account/1404088031/", 1404088031)</f>
        <v>1404088031</v>
      </c>
      <c r="F14236">
        <v>-4616.29</v>
      </c>
    </row>
    <row r="14237" spans="1:6" hidden="1" x14ac:dyDescent="0.25">
      <c r="A14237" t="s">
        <v>720</v>
      </c>
      <c r="B14237" t="s">
        <v>224</v>
      </c>
      <c r="E14237" s="3">
        <f>HYPERLINK("https://sao.dolgi.msk.ru/account/1404086546/", 1404086546)</f>
        <v>1404086546</v>
      </c>
      <c r="F14237">
        <v>-592.32000000000005</v>
      </c>
    </row>
    <row r="14238" spans="1:6" hidden="1" x14ac:dyDescent="0.25">
      <c r="A14238" t="s">
        <v>720</v>
      </c>
      <c r="B14238" t="s">
        <v>225</v>
      </c>
      <c r="E14238" s="3">
        <f>HYPERLINK("https://sao.dolgi.msk.ru/account/1404084647/", 1404084647)</f>
        <v>1404084647</v>
      </c>
      <c r="F14238">
        <v>-8767.42</v>
      </c>
    </row>
    <row r="14239" spans="1:6" x14ac:dyDescent="0.25">
      <c r="A14239" t="s">
        <v>720</v>
      </c>
      <c r="B14239" t="s">
        <v>226</v>
      </c>
      <c r="C14239" s="5" t="str">
        <f>" кв. "&amp;B14239</f>
        <v xml:space="preserve"> кв. 222</v>
      </c>
      <c r="D14239" s="5" t="str">
        <f>CONCATENATE(A14239,C14239)</f>
        <v>Фестивальная ул., дом 41 к.4 кв. 222</v>
      </c>
      <c r="E14239" s="3">
        <f>HYPERLINK("https://sao.dolgi.msk.ru/account/1404087098/", 1404087098)</f>
        <v>1404087098</v>
      </c>
      <c r="F14239">
        <v>5659.31</v>
      </c>
    </row>
    <row r="14240" spans="1:6" hidden="1" x14ac:dyDescent="0.25">
      <c r="A14240" t="s">
        <v>720</v>
      </c>
      <c r="B14240" t="s">
        <v>227</v>
      </c>
      <c r="E14240" s="3">
        <f>HYPERLINK("https://sao.dolgi.msk.ru/account/1404087493/", 1404087493)</f>
        <v>1404087493</v>
      </c>
      <c r="F14240">
        <v>-7293</v>
      </c>
    </row>
    <row r="14241" spans="1:6" hidden="1" x14ac:dyDescent="0.25">
      <c r="A14241" t="s">
        <v>720</v>
      </c>
      <c r="B14241" t="s">
        <v>228</v>
      </c>
      <c r="E14241" s="3">
        <f>HYPERLINK("https://sao.dolgi.msk.ru/account/1404087637/", 1404087637)</f>
        <v>1404087637</v>
      </c>
      <c r="F14241">
        <v>-6592.11</v>
      </c>
    </row>
    <row r="14242" spans="1:6" hidden="1" x14ac:dyDescent="0.25">
      <c r="A14242" t="s">
        <v>720</v>
      </c>
      <c r="B14242" t="s">
        <v>229</v>
      </c>
      <c r="E14242" s="3">
        <f>HYPERLINK("https://sao.dolgi.msk.ru/account/1404085148/", 1404085148)</f>
        <v>1404085148</v>
      </c>
      <c r="F14242">
        <v>-2769.14</v>
      </c>
    </row>
    <row r="14243" spans="1:6" hidden="1" x14ac:dyDescent="0.25">
      <c r="A14243" t="s">
        <v>720</v>
      </c>
      <c r="B14243" t="s">
        <v>229</v>
      </c>
      <c r="E14243" s="3">
        <f>HYPERLINK("https://sao.dolgi.msk.ru/account/1404090633/", 1404090633)</f>
        <v>1404090633</v>
      </c>
      <c r="F14243">
        <v>-36</v>
      </c>
    </row>
    <row r="14244" spans="1:6" hidden="1" x14ac:dyDescent="0.25">
      <c r="A14244" t="s">
        <v>720</v>
      </c>
      <c r="B14244" t="s">
        <v>229</v>
      </c>
      <c r="E14244" s="3">
        <f>HYPERLINK("https://sao.dolgi.msk.ru/account/1404090641/", 1404090641)</f>
        <v>1404090641</v>
      </c>
      <c r="F14244">
        <v>-243.74</v>
      </c>
    </row>
    <row r="14245" spans="1:6" hidden="1" x14ac:dyDescent="0.25">
      <c r="A14245" t="s">
        <v>720</v>
      </c>
      <c r="B14245" t="s">
        <v>230</v>
      </c>
      <c r="E14245" s="3">
        <f>HYPERLINK("https://sao.dolgi.msk.ru/account/1404088955/", 1404088955)</f>
        <v>1404088955</v>
      </c>
      <c r="F14245">
        <v>-4895.68</v>
      </c>
    </row>
    <row r="14246" spans="1:6" hidden="1" x14ac:dyDescent="0.25">
      <c r="A14246" t="s">
        <v>720</v>
      </c>
      <c r="B14246" t="s">
        <v>231</v>
      </c>
      <c r="E14246" s="3">
        <f>HYPERLINK("https://sao.dolgi.msk.ru/account/1404089747/", 1404089747)</f>
        <v>1404089747</v>
      </c>
      <c r="F14246">
        <v>-4218.87</v>
      </c>
    </row>
    <row r="14247" spans="1:6" hidden="1" x14ac:dyDescent="0.25">
      <c r="A14247" t="s">
        <v>720</v>
      </c>
      <c r="B14247" t="s">
        <v>232</v>
      </c>
      <c r="E14247" s="3">
        <f>HYPERLINK("https://sao.dolgi.msk.ru/account/1404087848/", 1404087848)</f>
        <v>1404087848</v>
      </c>
      <c r="F14247">
        <v>0</v>
      </c>
    </row>
    <row r="14248" spans="1:6" hidden="1" x14ac:dyDescent="0.25">
      <c r="A14248" t="s">
        <v>720</v>
      </c>
      <c r="B14248" t="s">
        <v>233</v>
      </c>
      <c r="E14248" s="3">
        <f>HYPERLINK("https://sao.dolgi.msk.ru/account/1404089923/", 1404089923)</f>
        <v>1404089923</v>
      </c>
      <c r="F14248">
        <v>-9672.48</v>
      </c>
    </row>
    <row r="14249" spans="1:6" hidden="1" x14ac:dyDescent="0.25">
      <c r="A14249" t="s">
        <v>720</v>
      </c>
      <c r="B14249" t="s">
        <v>234</v>
      </c>
      <c r="E14249" s="3">
        <f>HYPERLINK("https://sao.dolgi.msk.ru/account/1404090027/", 1404090027)</f>
        <v>1404090027</v>
      </c>
      <c r="F14249">
        <v>-3689.76</v>
      </c>
    </row>
    <row r="14250" spans="1:6" hidden="1" x14ac:dyDescent="0.25">
      <c r="A14250" t="s">
        <v>720</v>
      </c>
      <c r="B14250" t="s">
        <v>235</v>
      </c>
      <c r="E14250" s="3">
        <f>HYPERLINK("https://sao.dolgi.msk.ru/account/1404085391/", 1404085391)</f>
        <v>1404085391</v>
      </c>
      <c r="F14250">
        <v>-4876.66</v>
      </c>
    </row>
    <row r="14251" spans="1:6" hidden="1" x14ac:dyDescent="0.25">
      <c r="A14251" t="s">
        <v>720</v>
      </c>
      <c r="B14251" t="s">
        <v>239</v>
      </c>
      <c r="E14251" s="3">
        <f>HYPERLINK("https://sao.dolgi.msk.ru/account/1404087952/", 1404087952)</f>
        <v>1404087952</v>
      </c>
      <c r="F14251">
        <v>-7700.07</v>
      </c>
    </row>
    <row r="14252" spans="1:6" hidden="1" x14ac:dyDescent="0.25">
      <c r="A14252" t="s">
        <v>720</v>
      </c>
      <c r="B14252" t="s">
        <v>240</v>
      </c>
      <c r="E14252" s="3">
        <f>HYPERLINK("https://sao.dolgi.msk.ru/account/1404086677/", 1404086677)</f>
        <v>1404086677</v>
      </c>
      <c r="F14252">
        <v>-2759.73</v>
      </c>
    </row>
    <row r="14253" spans="1:6" hidden="1" x14ac:dyDescent="0.25">
      <c r="A14253" t="s">
        <v>720</v>
      </c>
      <c r="B14253" t="s">
        <v>241</v>
      </c>
      <c r="E14253" s="3">
        <f>HYPERLINK("https://sao.dolgi.msk.ru/account/1404086319/", 1404086319)</f>
        <v>1404086319</v>
      </c>
      <c r="F14253">
        <v>-4501.3100000000004</v>
      </c>
    </row>
    <row r="14254" spans="1:6" hidden="1" x14ac:dyDescent="0.25">
      <c r="A14254" t="s">
        <v>720</v>
      </c>
      <c r="B14254" t="s">
        <v>242</v>
      </c>
      <c r="E14254" s="3">
        <f>HYPERLINK("https://sao.dolgi.msk.ru/account/1404086415/", 1404086415)</f>
        <v>1404086415</v>
      </c>
      <c r="F14254">
        <v>0</v>
      </c>
    </row>
  </sheetData>
  <autoFilter ref="A1:F14254">
    <filterColumn colId="5">
      <customFilters>
        <customFilter operator="greaterThan" val="0"/>
      </custom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Жилищник района Левобережный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Кира Борисовна Голованова (Начальник юридического отдела) &lt;golovanova_kira@mail.ru&gt;</dc:creator>
  <dc:description>uuid: f7f3093e23854d049085b6404a8f2b0b generated: 2023-06-09 12:02:26</dc:description>
  <cp:lastModifiedBy>GBU-0260</cp:lastModifiedBy>
  <dcterms:created xsi:type="dcterms:W3CDTF">2023-06-09T09:02:40Z</dcterms:created>
  <dcterms:modified xsi:type="dcterms:W3CDTF">2023-06-09T11:14:36Z</dcterms:modified>
</cp:coreProperties>
</file>